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15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Default Extension="gif" ContentType="image/gif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ctrlProps/ctrlProp5.xml" ContentType="application/vnd.ms-excel.controlproperties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trlProps/ctrlProp4.xml" ContentType="application/vnd.ms-excel.controlproperties+xml"/>
  <Override PartName="/xl/ctrlProps/ctrlProp3.xml" ContentType="application/vnd.ms-excel.controlpropertie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drawings/drawing5.xml" ContentType="application/vnd.openxmlformats-officedocument.drawing+xml"/>
  <Override PartName="/xl/comments7.xml" ContentType="application/vnd.openxmlformats-officedocument.spreadsheetml.comments+xml"/>
  <Override PartName="/xl/drawings/drawing18.xml" ContentType="application/vnd.openxmlformats-officedocument.drawing+xml"/>
  <Default Extension="jpe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16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10" yWindow="-110" windowWidth="19420" windowHeight="10430" tabRatio="790" activeTab="1"/>
  </bookViews>
  <sheets>
    <sheet name="PENGATURAN" sheetId="1" r:id="rId1"/>
    <sheet name="Data Siswa" sheetId="2" r:id="rId2"/>
    <sheet name="KL IV SMT 1" sheetId="27" r:id="rId3"/>
    <sheet name="KL IV SMT 2" sheetId="29" r:id="rId4"/>
    <sheet name="KL V SMT 1" sheetId="30" r:id="rId5"/>
    <sheet name="KL V SMT 2" sheetId="31" r:id="rId6"/>
    <sheet name="KL VI SMT 1" sheetId="32" r:id="rId7"/>
    <sheet name="SMT12" sheetId="28" state="hidden" r:id="rId8"/>
    <sheet name="REKAP RAPOR" sheetId="7" r:id="rId9"/>
    <sheet name="KIRIM DINAS-PPDB" sheetId="39" r:id="rId10"/>
    <sheet name="SUKET RAPOR" sheetId="41" r:id="rId11"/>
    <sheet name="USD" sheetId="6" r:id="rId12"/>
    <sheet name="NA IJAZAH" sheetId="24" r:id="rId13"/>
    <sheet name="SURAT LULUS" sheetId="35" r:id="rId14"/>
    <sheet name="IJAZAH NILAI" sheetId="26" r:id="rId15"/>
    <sheet name="IJAZAH" sheetId="5" r:id="rId16"/>
    <sheet name="RENTANG" sheetId="17" r:id="rId17"/>
    <sheet name="TTD TRD" sheetId="18" r:id="rId18"/>
    <sheet name="PRILAKU" sheetId="22" r:id="rId19"/>
    <sheet name="L KILAT" sheetId="23" r:id="rId20"/>
    <sheet name="LOG" sheetId="33" r:id="rId21"/>
  </sheets>
  <definedNames>
    <definedName name="_xlnm._FilterDatabase" localSheetId="1" hidden="1">'Data Siswa'!$AJ$3:$AJ$53</definedName>
    <definedName name="_xlnm._FilterDatabase" localSheetId="9" hidden="1">'KIRIM DINAS-PPDB'!$N$7:$N$58</definedName>
    <definedName name="_xlnm._FilterDatabase" localSheetId="2" hidden="1">'KL IV SMT 1'!$AR$8:$AR$59</definedName>
    <definedName name="_xlnm._FilterDatabase" localSheetId="3" hidden="1">'KL IV SMT 2'!$AR$8:$AR$59</definedName>
    <definedName name="_xlnm._FilterDatabase" localSheetId="4" hidden="1">'KL V SMT 1'!$AR$8:$AR$59</definedName>
    <definedName name="_xlnm._FilterDatabase" localSheetId="5" hidden="1">'KL V SMT 2'!$AR$8:$AR$59</definedName>
    <definedName name="_xlnm._FilterDatabase" localSheetId="6" hidden="1">'KL VI SMT 1'!$AR$8:$AR$59</definedName>
    <definedName name="_xlnm._FilterDatabase" localSheetId="12" hidden="1">'NA IJAZAH'!$V$8:$V$58</definedName>
    <definedName name="_xlnm._FilterDatabase" localSheetId="18" hidden="1">PRILAKU!$X$10:$X$60</definedName>
    <definedName name="_xlnm._FilterDatabase" localSheetId="8" hidden="1">'REKAP RAPOR'!$U$7:$U$57</definedName>
    <definedName name="_xlnm._FilterDatabase" localSheetId="7" hidden="1">'SMT12'!$AR$8:$AR$59</definedName>
    <definedName name="_xlnm._FilterDatabase" localSheetId="11" hidden="1">USD!$BB$10:$BB$60</definedName>
    <definedName name="Alamat_Lengkap">PENGATURAN!$D$12</definedName>
    <definedName name="BI_Gabung">USD!$R$11:$R$60</definedName>
    <definedName name="BI_Teori">USD!$P$11:$P$60</definedName>
    <definedName name="Data_siswa">'Data Siswa'!$B$4:$K$53</definedName>
    <definedName name="Digit">PENGATURAN!$K$9</definedName>
    <definedName name="Digit_nilai">PENGATURAN!#REF!</definedName>
    <definedName name="Digit_rata_rapor">PENGATURAN!$K$10</definedName>
    <definedName name="Email">PENGATURAN!$D$14</definedName>
    <definedName name="IPA_Gabung">USD!$Z$11:$Z$60</definedName>
    <definedName name="IPA_Teori">USD!$X$11:$X$60</definedName>
    <definedName name="Jenjang">PENGATURAN!$D$6</definedName>
    <definedName name="Kab_Kota">PENGATURAN!$C$18</definedName>
    <definedName name="Kabupaten">PENGATURAN!$D$18</definedName>
    <definedName name="Kecamatan">PENGATURAN!$D$16</definedName>
    <definedName name="Kel_Desa">PENGATURAN!$C$15</definedName>
    <definedName name="Kelurahan">PENGATURAN!$D$15</definedName>
    <definedName name="Kepsek">PENGATURAN!$D$21</definedName>
    <definedName name="kode_pos">PENGATURAN!$D$17</definedName>
    <definedName name="LULUS">'NA IJAZAH'!$T$9:$T$58</definedName>
    <definedName name="MAT_Teori">USD!$T$11:$T$60</definedName>
    <definedName name="Nama_Dinas">PENGATURAN!$D$20</definedName>
    <definedName name="Nama_Kepsek">PENGATURAN!$D$21</definedName>
    <definedName name="Nama_Sekolah">PENGATURAN!$D$8</definedName>
    <definedName name="Nama_Sekolah_KOP">PENGATURAN!$D$9</definedName>
    <definedName name="Nama_sekolah1">PENGATURAN!$D$7</definedName>
    <definedName name="Nama_siswa">'Data Siswa'!$F$4:$F$53</definedName>
    <definedName name="NIP_Kepsek">PENGATURAN!$D$23</definedName>
    <definedName name="NOMOR_AKHIR">'Data Siswa'!$U$3:$AC$53</definedName>
    <definedName name="NPSN">PENGATURAN!$D$10</definedName>
    <definedName name="NSS">PENGATURAN!$D$11</definedName>
    <definedName name="Pangkat_gol">PENGATURAN!$D$22</definedName>
    <definedName name="Peringkat_rapor">'KIRIM DINAS-PPDB'!$T$9:$U$58</definedName>
    <definedName name="Praktik_gabung_ijazah" localSheetId="9">PENGATURAN!#REF!</definedName>
    <definedName name="Praktik_gabung_ijazah">PENGATURAN!#REF!</definedName>
    <definedName name="Praktik_Gabung_SKHU" localSheetId="9">PENGATURAN!#REF!</definedName>
    <definedName name="Praktik_Gabung_SKHU">PENGATURAN!#REF!</definedName>
    <definedName name="_xlnm.Print_Area" localSheetId="1">'Data Siswa'!$A$1:$Y$62</definedName>
    <definedName name="_xlnm.Print_Area" localSheetId="15">IJAZAH!$B$2:$L$46</definedName>
    <definedName name="_xlnm.Print_Area" localSheetId="14">'IJAZAH NILAI'!$B$2:$J$47</definedName>
    <definedName name="_xlnm.Print_Area" localSheetId="9">'KIRIM DINAS-PPDB'!$A$1:$M$66</definedName>
    <definedName name="_xlnm.Print_Area" localSheetId="2">'KL IV SMT 1'!$A$1:$AQ$67</definedName>
    <definedName name="_xlnm.Print_Area" localSheetId="3">'KL IV SMT 2'!$A$1:$AQ$67</definedName>
    <definedName name="_xlnm.Print_Area" localSheetId="4">'KL V SMT 1'!$A$1:$AQ$67</definedName>
    <definedName name="_xlnm.Print_Area" localSheetId="5">'KL V SMT 2'!$A$1:$AQ$67</definedName>
    <definedName name="_xlnm.Print_Area" localSheetId="6">'KL VI SMT 1'!$A$1:$AQ$67</definedName>
    <definedName name="_xlnm.Print_Area" localSheetId="19">'L KILAT'!$B$3:$Q$28</definedName>
    <definedName name="_xlnm.Print_Area" localSheetId="12">'NA IJAZAH'!$A$1:$U$66</definedName>
    <definedName name="_xlnm.Print_Area" localSheetId="18">PRILAKU!$A$1:$V$70</definedName>
    <definedName name="_xlnm.Print_Area" localSheetId="8">'REKAP RAPOR'!$A$1:$T$65</definedName>
    <definedName name="_xlnm.Print_Area" localSheetId="16">RENTANG!$A$1:$V$23</definedName>
    <definedName name="_xlnm.Print_Area" localSheetId="7">'SMT12'!$A$1:$AQ$67</definedName>
    <definedName name="_xlnm.Print_Area" localSheetId="10">'SUKET RAPOR'!$B$2:$Z$49</definedName>
    <definedName name="_xlnm.Print_Area" localSheetId="13">'SURAT LULUS'!$B$2:$K$59</definedName>
    <definedName name="_xlnm.Print_Area" localSheetId="17">'TTD TRD'!$A$1:$O$22</definedName>
    <definedName name="_xlnm.Print_Area" localSheetId="11">USD!$A$1:$BA$68</definedName>
    <definedName name="Provinsi">PENGATURAN!$D$19</definedName>
    <definedName name="R_KL4_1">'KL IV SMT 1'!$B$10:$AP$59</definedName>
    <definedName name="R_KL4_2">'KL IV SMT 2'!$B$10:$AP$59</definedName>
    <definedName name="R_KL5_1">'KL V SMT 1'!$B$10:$AP$59</definedName>
    <definedName name="R_KL5_2">'KL V SMT 2'!$B$10:$AP$59</definedName>
    <definedName name="R_KL6_1">'KL VI SMT 1'!$B$10:$AP$59</definedName>
    <definedName name="Rapor_rekap" localSheetId="9">'KIRIM DINAS-PPDB'!$B$9:$R$58</definedName>
    <definedName name="Rapor_rekap">'REKAP RAPOR'!$B$8:$R$57</definedName>
    <definedName name="Sat">PENGATURAN!$L$9</definedName>
    <definedName name="SD_MI">PENGATURAN!$W$13</definedName>
    <definedName name="SK_luluss">PENGATURAN!$D$27</definedName>
    <definedName name="SK_rapor">PENGATURAN!$D$28</definedName>
    <definedName name="Tahun_Pelajaran">PENGATURAN!$D$5</definedName>
    <definedName name="Tanggal">PENGATURAN!$D$24</definedName>
    <definedName name="Telepon">PENGATURAN!$D$13</definedName>
    <definedName name="Tgl_Lulus">PENGATURAN!$D$25</definedName>
    <definedName name="Tgl_rapor">PENGATURAN!$D$24</definedName>
    <definedName name="Tidak">PENGATURAN!$Z$6</definedName>
    <definedName name="US_GABUNGAN">'NA IJAZAH'!$B$9:$T$58</definedName>
    <definedName name="USBN_entri_nilai">USD!$B$11:$AZ$60</definedName>
    <definedName name="USBN_Rekap">#REF!</definedName>
    <definedName name="Ya_tidak">PENGATURAN!$Z$5</definedName>
  </definedNames>
  <calcPr calcId="125725"/>
</workbook>
</file>

<file path=xl/calcChain.xml><?xml version="1.0" encoding="utf-8"?>
<calcChain xmlns="http://schemas.openxmlformats.org/spreadsheetml/2006/main">
  <c r="I51" i="35"/>
  <c r="H36" i="26"/>
  <c r="J5" i="23"/>
  <c r="H9" i="35"/>
  <c r="E5" i="41"/>
  <c r="U39" i="35"/>
  <c r="I39" s="1"/>
  <c r="U42"/>
  <c r="I42" s="1"/>
  <c r="V39"/>
  <c r="V42"/>
  <c r="W13" i="1"/>
  <c r="J36" i="41"/>
  <c r="J34"/>
  <c r="J33"/>
  <c r="J27"/>
  <c r="J28"/>
  <c r="J29"/>
  <c r="J30"/>
  <c r="J31"/>
  <c r="AA9" i="39"/>
  <c r="AA8"/>
  <c r="AM10" i="32"/>
  <c r="AN10"/>
  <c r="AM11"/>
  <c r="AN11"/>
  <c r="U27" i="41"/>
  <c r="V27"/>
  <c r="U28"/>
  <c r="V28"/>
  <c r="U29"/>
  <c r="V29"/>
  <c r="U30"/>
  <c r="V30"/>
  <c r="U31"/>
  <c r="V31"/>
  <c r="U33"/>
  <c r="V33"/>
  <c r="U34"/>
  <c r="V34"/>
  <c r="U36"/>
  <c r="V36"/>
  <c r="V26"/>
  <c r="U26"/>
  <c r="R27"/>
  <c r="S27"/>
  <c r="R28"/>
  <c r="S28"/>
  <c r="R29"/>
  <c r="S29"/>
  <c r="R30"/>
  <c r="S30"/>
  <c r="R31"/>
  <c r="S31"/>
  <c r="R33"/>
  <c r="S33"/>
  <c r="R34"/>
  <c r="S34"/>
  <c r="R36"/>
  <c r="S36"/>
  <c r="S26"/>
  <c r="R26"/>
  <c r="O27"/>
  <c r="P27"/>
  <c r="O28"/>
  <c r="P28"/>
  <c r="O29"/>
  <c r="P29"/>
  <c r="O30"/>
  <c r="P30"/>
  <c r="O31"/>
  <c r="P31"/>
  <c r="O33"/>
  <c r="P33"/>
  <c r="O34"/>
  <c r="P34"/>
  <c r="O36"/>
  <c r="P36"/>
  <c r="P26"/>
  <c r="O26"/>
  <c r="L27"/>
  <c r="M27"/>
  <c r="L28"/>
  <c r="M28"/>
  <c r="L29"/>
  <c r="M29"/>
  <c r="L30"/>
  <c r="M30"/>
  <c r="L31"/>
  <c r="M31"/>
  <c r="L33"/>
  <c r="M33"/>
  <c r="L34"/>
  <c r="M34"/>
  <c r="L36"/>
  <c r="M36"/>
  <c r="M26"/>
  <c r="L26"/>
  <c r="J26"/>
  <c r="I27"/>
  <c r="I28"/>
  <c r="I29"/>
  <c r="I30"/>
  <c r="I31"/>
  <c r="I33"/>
  <c r="I34"/>
  <c r="I36"/>
  <c r="I26"/>
  <c r="AN59" i="32"/>
  <c r="AM59"/>
  <c r="AL59"/>
  <c r="AI59"/>
  <c r="AF59"/>
  <c r="AC59"/>
  <c r="Z59"/>
  <c r="W59"/>
  <c r="T59"/>
  <c r="Q59"/>
  <c r="N59"/>
  <c r="K59"/>
  <c r="H59"/>
  <c r="AO59" s="1"/>
  <c r="AN58"/>
  <c r="AM58"/>
  <c r="AL58"/>
  <c r="AI58"/>
  <c r="AF58"/>
  <c r="AC58"/>
  <c r="Z58"/>
  <c r="W58"/>
  <c r="T58"/>
  <c r="Q58"/>
  <c r="N58"/>
  <c r="K58"/>
  <c r="H58"/>
  <c r="AP58" s="1"/>
  <c r="AN57"/>
  <c r="AM57"/>
  <c r="AL57"/>
  <c r="AI57"/>
  <c r="AF57"/>
  <c r="AC57"/>
  <c r="Z57"/>
  <c r="W57"/>
  <c r="T57"/>
  <c r="Q57"/>
  <c r="N57"/>
  <c r="K57"/>
  <c r="H57"/>
  <c r="AO57" s="1"/>
  <c r="AN56"/>
  <c r="AM56"/>
  <c r="AL56"/>
  <c r="AI56"/>
  <c r="AF56"/>
  <c r="AC56"/>
  <c r="Z56"/>
  <c r="W56"/>
  <c r="T56"/>
  <c r="Q56"/>
  <c r="N56"/>
  <c r="K56"/>
  <c r="AO56" s="1"/>
  <c r="H56"/>
  <c r="AN55"/>
  <c r="AM55"/>
  <c r="AL55"/>
  <c r="AI55"/>
  <c r="AF55"/>
  <c r="AC55"/>
  <c r="Z55"/>
  <c r="W55"/>
  <c r="T55"/>
  <c r="Q55"/>
  <c r="N55"/>
  <c r="K55"/>
  <c r="H55"/>
  <c r="AO55" s="1"/>
  <c r="AN54"/>
  <c r="AM54"/>
  <c r="AL54"/>
  <c r="AI54"/>
  <c r="AF54"/>
  <c r="AC54"/>
  <c r="Z54"/>
  <c r="W54"/>
  <c r="T54"/>
  <c r="Q54"/>
  <c r="AO54" s="1"/>
  <c r="N54"/>
  <c r="K54"/>
  <c r="H54"/>
  <c r="AN53"/>
  <c r="AM53"/>
  <c r="AL53"/>
  <c r="AI53"/>
  <c r="AF53"/>
  <c r="AC53"/>
  <c r="Z53"/>
  <c r="W53"/>
  <c r="T53"/>
  <c r="Q53"/>
  <c r="N53"/>
  <c r="K53"/>
  <c r="H53"/>
  <c r="AO53" s="1"/>
  <c r="AN52"/>
  <c r="AM52"/>
  <c r="AL52"/>
  <c r="AI52"/>
  <c r="AF52"/>
  <c r="AC52"/>
  <c r="Z52"/>
  <c r="W52"/>
  <c r="T52"/>
  <c r="Q52"/>
  <c r="N52"/>
  <c r="K52"/>
  <c r="H52"/>
  <c r="AN51"/>
  <c r="AM51"/>
  <c r="AL51"/>
  <c r="AI51"/>
  <c r="AF51"/>
  <c r="AC51"/>
  <c r="Z51"/>
  <c r="W51"/>
  <c r="T51"/>
  <c r="Q51"/>
  <c r="N51"/>
  <c r="K51"/>
  <c r="H51"/>
  <c r="AO51" s="1"/>
  <c r="AN50"/>
  <c r="AM50"/>
  <c r="AL50"/>
  <c r="AI50"/>
  <c r="AF50"/>
  <c r="AC50"/>
  <c r="Z50"/>
  <c r="W50"/>
  <c r="T50"/>
  <c r="Q50"/>
  <c r="N50"/>
  <c r="K50"/>
  <c r="H50"/>
  <c r="AP50" s="1"/>
  <c r="AN49"/>
  <c r="AM49"/>
  <c r="AL49"/>
  <c r="AI49"/>
  <c r="AF49"/>
  <c r="AC49"/>
  <c r="Z49"/>
  <c r="W49"/>
  <c r="T49"/>
  <c r="Q49"/>
  <c r="N49"/>
  <c r="K49"/>
  <c r="H49"/>
  <c r="AN48"/>
  <c r="AM48"/>
  <c r="AL48"/>
  <c r="AI48"/>
  <c r="AF48"/>
  <c r="AC48"/>
  <c r="Z48"/>
  <c r="W48"/>
  <c r="T48"/>
  <c r="Q48"/>
  <c r="N48"/>
  <c r="K48"/>
  <c r="H48"/>
  <c r="AN47"/>
  <c r="AM47"/>
  <c r="AL47"/>
  <c r="AI47"/>
  <c r="AF47"/>
  <c r="AC47"/>
  <c r="Z47"/>
  <c r="W47"/>
  <c r="T47"/>
  <c r="Q47"/>
  <c r="N47"/>
  <c r="K47"/>
  <c r="H47"/>
  <c r="AN46"/>
  <c r="AM46"/>
  <c r="AL46"/>
  <c r="AI46"/>
  <c r="AF46"/>
  <c r="AC46"/>
  <c r="Z46"/>
  <c r="W46"/>
  <c r="T46"/>
  <c r="Q46"/>
  <c r="N46"/>
  <c r="K46"/>
  <c r="H46"/>
  <c r="AN45"/>
  <c r="AM45"/>
  <c r="AL45"/>
  <c r="AI45"/>
  <c r="AF45"/>
  <c r="AC45"/>
  <c r="Z45"/>
  <c r="W45"/>
  <c r="T45"/>
  <c r="Q45"/>
  <c r="N45"/>
  <c r="K45"/>
  <c r="H45"/>
  <c r="AN44"/>
  <c r="AM44"/>
  <c r="AL44"/>
  <c r="AI44"/>
  <c r="AF44"/>
  <c r="AC44"/>
  <c r="Z44"/>
  <c r="W44"/>
  <c r="T44"/>
  <c r="Q44"/>
  <c r="N44"/>
  <c r="K44"/>
  <c r="H44"/>
  <c r="AN43"/>
  <c r="AM43"/>
  <c r="AL43"/>
  <c r="AI43"/>
  <c r="AF43"/>
  <c r="AC43"/>
  <c r="Z43"/>
  <c r="W43"/>
  <c r="T43"/>
  <c r="Q43"/>
  <c r="N43"/>
  <c r="K43"/>
  <c r="H43"/>
  <c r="AN42"/>
  <c r="AM42"/>
  <c r="AL42"/>
  <c r="AI42"/>
  <c r="AF42"/>
  <c r="AC42"/>
  <c r="Z42"/>
  <c r="W42"/>
  <c r="T42"/>
  <c r="Q42"/>
  <c r="N42"/>
  <c r="K42"/>
  <c r="H42"/>
  <c r="AN41"/>
  <c r="AM41"/>
  <c r="AL41"/>
  <c r="AI41"/>
  <c r="AF41"/>
  <c r="AC41"/>
  <c r="Z41"/>
  <c r="W41"/>
  <c r="T41"/>
  <c r="Q41"/>
  <c r="N41"/>
  <c r="K41"/>
  <c r="H41"/>
  <c r="AN40"/>
  <c r="AM40"/>
  <c r="AL40"/>
  <c r="AI40"/>
  <c r="AF40"/>
  <c r="AC40"/>
  <c r="Z40"/>
  <c r="W40"/>
  <c r="T40"/>
  <c r="Q40"/>
  <c r="N40"/>
  <c r="K40"/>
  <c r="H40"/>
  <c r="AN39"/>
  <c r="AM39"/>
  <c r="AL39"/>
  <c r="AI39"/>
  <c r="AF39"/>
  <c r="AC39"/>
  <c r="Z39"/>
  <c r="W39"/>
  <c r="T39"/>
  <c r="Q39"/>
  <c r="N39"/>
  <c r="K39"/>
  <c r="H39"/>
  <c r="AN38"/>
  <c r="AM38"/>
  <c r="AL38"/>
  <c r="AI38"/>
  <c r="AF38"/>
  <c r="AC38"/>
  <c r="Z38"/>
  <c r="W38"/>
  <c r="T38"/>
  <c r="Q38"/>
  <c r="N38"/>
  <c r="K38"/>
  <c r="H38"/>
  <c r="AN37"/>
  <c r="AM37"/>
  <c r="AL37"/>
  <c r="AI37"/>
  <c r="AF37"/>
  <c r="AC37"/>
  <c r="Z37"/>
  <c r="W37"/>
  <c r="T37"/>
  <c r="Q37"/>
  <c r="N37"/>
  <c r="K37"/>
  <c r="H37"/>
  <c r="AN36"/>
  <c r="AM36"/>
  <c r="AL36"/>
  <c r="AI36"/>
  <c r="AF36"/>
  <c r="AC36"/>
  <c r="Z36"/>
  <c r="W36"/>
  <c r="T36"/>
  <c r="Q36"/>
  <c r="N36"/>
  <c r="K36"/>
  <c r="H36"/>
  <c r="AN35"/>
  <c r="AM35"/>
  <c r="AL35"/>
  <c r="AI35"/>
  <c r="AF35"/>
  <c r="AC35"/>
  <c r="Z35"/>
  <c r="W35"/>
  <c r="T35"/>
  <c r="Q35"/>
  <c r="N35"/>
  <c r="K35"/>
  <c r="H35"/>
  <c r="AN34"/>
  <c r="AM34"/>
  <c r="AL34"/>
  <c r="AI34"/>
  <c r="AF34"/>
  <c r="AC34"/>
  <c r="Z34"/>
  <c r="W34"/>
  <c r="T34"/>
  <c r="Q34"/>
  <c r="N34"/>
  <c r="K34"/>
  <c r="H34"/>
  <c r="AN33"/>
  <c r="AM33"/>
  <c r="AL33"/>
  <c r="AI33"/>
  <c r="AF33"/>
  <c r="AC33"/>
  <c r="Z33"/>
  <c r="W33"/>
  <c r="T33"/>
  <c r="Q33"/>
  <c r="N33"/>
  <c r="K33"/>
  <c r="H33"/>
  <c r="AN32"/>
  <c r="AM32"/>
  <c r="AL32"/>
  <c r="AI32"/>
  <c r="AF32"/>
  <c r="AC32"/>
  <c r="Z32"/>
  <c r="W32"/>
  <c r="T32"/>
  <c r="Q32"/>
  <c r="N32"/>
  <c r="K32"/>
  <c r="H32"/>
  <c r="AN31"/>
  <c r="AM31"/>
  <c r="AL31"/>
  <c r="AI31"/>
  <c r="AF31"/>
  <c r="AC31"/>
  <c r="Z31"/>
  <c r="W31"/>
  <c r="T31"/>
  <c r="Q31"/>
  <c r="N31"/>
  <c r="K31"/>
  <c r="H31"/>
  <c r="AN30"/>
  <c r="AM30"/>
  <c r="AL30"/>
  <c r="AI30"/>
  <c r="AF30"/>
  <c r="AC30"/>
  <c r="Z30"/>
  <c r="W30"/>
  <c r="T30"/>
  <c r="Q30"/>
  <c r="N30"/>
  <c r="K30"/>
  <c r="H30"/>
  <c r="AN29"/>
  <c r="AM29"/>
  <c r="AL29"/>
  <c r="AI29"/>
  <c r="AF29"/>
  <c r="AC29"/>
  <c r="Z29"/>
  <c r="W29"/>
  <c r="T29"/>
  <c r="Q29"/>
  <c r="N29"/>
  <c r="K29"/>
  <c r="H29"/>
  <c r="AN28"/>
  <c r="AM28"/>
  <c r="AL28"/>
  <c r="AI28"/>
  <c r="AF28"/>
  <c r="AC28"/>
  <c r="Z28"/>
  <c r="W28"/>
  <c r="T28"/>
  <c r="Q28"/>
  <c r="N28"/>
  <c r="K28"/>
  <c r="H28"/>
  <c r="AN27"/>
  <c r="AM27"/>
  <c r="AL27"/>
  <c r="AI27"/>
  <c r="AF27"/>
  <c r="AC27"/>
  <c r="Z27"/>
  <c r="W27"/>
  <c r="T27"/>
  <c r="Q27"/>
  <c r="N27"/>
  <c r="K27"/>
  <c r="H27"/>
  <c r="AN26"/>
  <c r="AM26"/>
  <c r="AL26"/>
  <c r="AI26"/>
  <c r="AF26"/>
  <c r="AC26"/>
  <c r="Z26"/>
  <c r="W26"/>
  <c r="T26"/>
  <c r="Q26"/>
  <c r="N26"/>
  <c r="K26"/>
  <c r="H26"/>
  <c r="AN25"/>
  <c r="AM25"/>
  <c r="AL25"/>
  <c r="AI25"/>
  <c r="AF25"/>
  <c r="AC25"/>
  <c r="Z25"/>
  <c r="W25"/>
  <c r="T25"/>
  <c r="Q25"/>
  <c r="N25"/>
  <c r="K25"/>
  <c r="H25"/>
  <c r="AN24"/>
  <c r="AM24"/>
  <c r="AL24"/>
  <c r="AI24"/>
  <c r="AF24"/>
  <c r="AC24"/>
  <c r="Z24"/>
  <c r="W24"/>
  <c r="T24"/>
  <c r="Q24"/>
  <c r="N24"/>
  <c r="K24"/>
  <c r="H24"/>
  <c r="AN23"/>
  <c r="AM23"/>
  <c r="AL23"/>
  <c r="AI23"/>
  <c r="AF23"/>
  <c r="AC23"/>
  <c r="Z23"/>
  <c r="W23"/>
  <c r="T23"/>
  <c r="Q23"/>
  <c r="N23"/>
  <c r="K23"/>
  <c r="H23"/>
  <c r="AN22"/>
  <c r="AM22"/>
  <c r="AL22"/>
  <c r="AI22"/>
  <c r="AF22"/>
  <c r="AC22"/>
  <c r="Z22"/>
  <c r="W22"/>
  <c r="T22"/>
  <c r="Q22"/>
  <c r="N22"/>
  <c r="K22"/>
  <c r="H22"/>
  <c r="AN21"/>
  <c r="AM21"/>
  <c r="AL21"/>
  <c r="AI21"/>
  <c r="AF21"/>
  <c r="AC21"/>
  <c r="Z21"/>
  <c r="W21"/>
  <c r="T21"/>
  <c r="Q21"/>
  <c r="N21"/>
  <c r="K21"/>
  <c r="H21"/>
  <c r="AN20"/>
  <c r="AM20"/>
  <c r="AL20"/>
  <c r="AI20"/>
  <c r="AF20"/>
  <c r="AC20"/>
  <c r="Z20"/>
  <c r="W20"/>
  <c r="T20"/>
  <c r="Q20"/>
  <c r="N20"/>
  <c r="K20"/>
  <c r="H20"/>
  <c r="AN19"/>
  <c r="AM19"/>
  <c r="AL19"/>
  <c r="AI19"/>
  <c r="AF19"/>
  <c r="AC19"/>
  <c r="Z19"/>
  <c r="W19"/>
  <c r="T19"/>
  <c r="Q19"/>
  <c r="N19"/>
  <c r="K19"/>
  <c r="H19"/>
  <c r="AN18"/>
  <c r="AM18"/>
  <c r="AL18"/>
  <c r="AI18"/>
  <c r="AF18"/>
  <c r="AC18"/>
  <c r="Z18"/>
  <c r="W18"/>
  <c r="T18"/>
  <c r="Q18"/>
  <c r="N18"/>
  <c r="K18"/>
  <c r="H18"/>
  <c r="AN17"/>
  <c r="AM17"/>
  <c r="AL17"/>
  <c r="AI17"/>
  <c r="AF17"/>
  <c r="AC17"/>
  <c r="Z17"/>
  <c r="W17"/>
  <c r="T17"/>
  <c r="Q17"/>
  <c r="N17"/>
  <c r="K17"/>
  <c r="H17"/>
  <c r="AN16"/>
  <c r="AM16"/>
  <c r="AL16"/>
  <c r="AI16"/>
  <c r="AF16"/>
  <c r="AC16"/>
  <c r="Z16"/>
  <c r="W16"/>
  <c r="T16"/>
  <c r="Q16"/>
  <c r="N16"/>
  <c r="K16"/>
  <c r="H16"/>
  <c r="AN15"/>
  <c r="AM15"/>
  <c r="AL15"/>
  <c r="AI15"/>
  <c r="AF15"/>
  <c r="AC15"/>
  <c r="Z15"/>
  <c r="W15"/>
  <c r="T15"/>
  <c r="Q15"/>
  <c r="N15"/>
  <c r="K15"/>
  <c r="H15"/>
  <c r="AN14"/>
  <c r="AM14"/>
  <c r="AL14"/>
  <c r="AI14"/>
  <c r="AF14"/>
  <c r="AC14"/>
  <c r="Z14"/>
  <c r="W14"/>
  <c r="T14"/>
  <c r="Q14"/>
  <c r="N14"/>
  <c r="K14"/>
  <c r="H14"/>
  <c r="AN13"/>
  <c r="AM13"/>
  <c r="AL13"/>
  <c r="AI13"/>
  <c r="AF13"/>
  <c r="AC13"/>
  <c r="Z13"/>
  <c r="W13"/>
  <c r="T13"/>
  <c r="Q13"/>
  <c r="N13"/>
  <c r="K13"/>
  <c r="H13"/>
  <c r="AN12"/>
  <c r="AM12"/>
  <c r="AL12"/>
  <c r="AI12"/>
  <c r="AF12"/>
  <c r="AC12"/>
  <c r="Z12"/>
  <c r="W12"/>
  <c r="T12"/>
  <c r="Q12"/>
  <c r="N12"/>
  <c r="K12"/>
  <c r="H12"/>
  <c r="AL11"/>
  <c r="AI11"/>
  <c r="AF11"/>
  <c r="AC11"/>
  <c r="Z11"/>
  <c r="W11"/>
  <c r="T11"/>
  <c r="Q11"/>
  <c r="N11"/>
  <c r="K11"/>
  <c r="H11"/>
  <c r="AL10"/>
  <c r="AI10"/>
  <c r="AF10"/>
  <c r="W36" i="41" s="1"/>
  <c r="AC10" i="32"/>
  <c r="W34" i="41" s="1"/>
  <c r="Z10" i="32"/>
  <c r="W33" i="41" s="1"/>
  <c r="W10" i="32"/>
  <c r="W31" i="41" s="1"/>
  <c r="T10" i="32"/>
  <c r="W30" i="41" s="1"/>
  <c r="Q10" i="32"/>
  <c r="W29" i="41" s="1"/>
  <c r="N10" i="32"/>
  <c r="W28" i="41" s="1"/>
  <c r="K10" i="32"/>
  <c r="W27" i="41" s="1"/>
  <c r="H10" i="32"/>
  <c r="W26" i="41" s="1"/>
  <c r="AN59" i="31"/>
  <c r="AM59"/>
  <c r="AL59"/>
  <c r="AI59"/>
  <c r="AF59"/>
  <c r="AC59"/>
  <c r="Z59"/>
  <c r="AP59" s="1"/>
  <c r="W59"/>
  <c r="T59"/>
  <c r="Q59"/>
  <c r="N59"/>
  <c r="K59"/>
  <c r="H59"/>
  <c r="AO59" s="1"/>
  <c r="AN58"/>
  <c r="AM58"/>
  <c r="AL58"/>
  <c r="AI58"/>
  <c r="AF58"/>
  <c r="AC58"/>
  <c r="Z58"/>
  <c r="W58"/>
  <c r="AO58" s="1"/>
  <c r="T58"/>
  <c r="Q58"/>
  <c r="N58"/>
  <c r="AP58" s="1"/>
  <c r="K58"/>
  <c r="H58"/>
  <c r="AN57"/>
  <c r="AM57"/>
  <c r="AL57"/>
  <c r="AI57"/>
  <c r="AF57"/>
  <c r="AC57"/>
  <c r="Z57"/>
  <c r="W57"/>
  <c r="T57"/>
  <c r="Q57"/>
  <c r="N57"/>
  <c r="K57"/>
  <c r="H57"/>
  <c r="AN56"/>
  <c r="AM56"/>
  <c r="AL56"/>
  <c r="AI56"/>
  <c r="AF56"/>
  <c r="AC56"/>
  <c r="Z56"/>
  <c r="W56"/>
  <c r="T56"/>
  <c r="Q56"/>
  <c r="N56"/>
  <c r="K56"/>
  <c r="H56"/>
  <c r="AO56" s="1"/>
  <c r="AN55"/>
  <c r="AM55"/>
  <c r="AL55"/>
  <c r="AI55"/>
  <c r="AF55"/>
  <c r="AC55"/>
  <c r="Z55"/>
  <c r="W55"/>
  <c r="T55"/>
  <c r="Q55"/>
  <c r="N55"/>
  <c r="K55"/>
  <c r="H55"/>
  <c r="AO55" s="1"/>
  <c r="AN54"/>
  <c r="AM54"/>
  <c r="AL54"/>
  <c r="AI54"/>
  <c r="AF54"/>
  <c r="AC54"/>
  <c r="Z54"/>
  <c r="W54"/>
  <c r="T54"/>
  <c r="Q54"/>
  <c r="N54"/>
  <c r="K54"/>
  <c r="H54"/>
  <c r="AO54" s="1"/>
  <c r="AN53"/>
  <c r="AM53"/>
  <c r="AL53"/>
  <c r="AI53"/>
  <c r="AF53"/>
  <c r="AC53"/>
  <c r="Z53"/>
  <c r="W53"/>
  <c r="T53"/>
  <c r="Q53"/>
  <c r="N53"/>
  <c r="K53"/>
  <c r="H53"/>
  <c r="AO53" s="1"/>
  <c r="AN52"/>
  <c r="AM52"/>
  <c r="AL52"/>
  <c r="AI52"/>
  <c r="AF52"/>
  <c r="AC52"/>
  <c r="Z52"/>
  <c r="W52"/>
  <c r="T52"/>
  <c r="Q52"/>
  <c r="N52"/>
  <c r="K52"/>
  <c r="H52"/>
  <c r="AO52" s="1"/>
  <c r="AN51"/>
  <c r="AM51"/>
  <c r="AL51"/>
  <c r="AI51"/>
  <c r="AF51"/>
  <c r="AC51"/>
  <c r="Z51"/>
  <c r="W51"/>
  <c r="T51"/>
  <c r="Q51"/>
  <c r="N51"/>
  <c r="K51"/>
  <c r="H51"/>
  <c r="AO51" s="1"/>
  <c r="AN50"/>
  <c r="AM50"/>
  <c r="AL50"/>
  <c r="AI50"/>
  <c r="AF50"/>
  <c r="AC50"/>
  <c r="Z50"/>
  <c r="W50"/>
  <c r="AO50" s="1"/>
  <c r="T50"/>
  <c r="Q50"/>
  <c r="N50"/>
  <c r="AP50" s="1"/>
  <c r="K50"/>
  <c r="H50"/>
  <c r="AN49"/>
  <c r="AM49"/>
  <c r="AL49"/>
  <c r="AI49"/>
  <c r="AF49"/>
  <c r="AC49"/>
  <c r="Z49"/>
  <c r="W49"/>
  <c r="T49"/>
  <c r="Q49"/>
  <c r="N49"/>
  <c r="K49"/>
  <c r="H49"/>
  <c r="AN48"/>
  <c r="AM48"/>
  <c r="AL48"/>
  <c r="AI48"/>
  <c r="AF48"/>
  <c r="AC48"/>
  <c r="Z48"/>
  <c r="W48"/>
  <c r="T48"/>
  <c r="Q48"/>
  <c r="N48"/>
  <c r="K48"/>
  <c r="H48"/>
  <c r="AO48" s="1"/>
  <c r="AN47"/>
  <c r="AM47"/>
  <c r="AL47"/>
  <c r="AI47"/>
  <c r="AF47"/>
  <c r="AC47"/>
  <c r="Z47"/>
  <c r="W47"/>
  <c r="T47"/>
  <c r="Q47"/>
  <c r="N47"/>
  <c r="K47"/>
  <c r="H47"/>
  <c r="AN46"/>
  <c r="AM46"/>
  <c r="AL46"/>
  <c r="AI46"/>
  <c r="AF46"/>
  <c r="AC46"/>
  <c r="Z46"/>
  <c r="W46"/>
  <c r="T46"/>
  <c r="Q46"/>
  <c r="N46"/>
  <c r="K46"/>
  <c r="H46"/>
  <c r="AN45"/>
  <c r="AM45"/>
  <c r="AL45"/>
  <c r="AI45"/>
  <c r="AF45"/>
  <c r="AC45"/>
  <c r="Z45"/>
  <c r="W45"/>
  <c r="T45"/>
  <c r="Q45"/>
  <c r="N45"/>
  <c r="K45"/>
  <c r="H45"/>
  <c r="AN44"/>
  <c r="AM44"/>
  <c r="AL44"/>
  <c r="AI44"/>
  <c r="AF44"/>
  <c r="AC44"/>
  <c r="Z44"/>
  <c r="W44"/>
  <c r="T44"/>
  <c r="Q44"/>
  <c r="N44"/>
  <c r="K44"/>
  <c r="H44"/>
  <c r="AN43"/>
  <c r="AM43"/>
  <c r="AL43"/>
  <c r="AI43"/>
  <c r="AF43"/>
  <c r="AC43"/>
  <c r="Z43"/>
  <c r="W43"/>
  <c r="T43"/>
  <c r="Q43"/>
  <c r="N43"/>
  <c r="K43"/>
  <c r="H43"/>
  <c r="AN42"/>
  <c r="AM42"/>
  <c r="AL42"/>
  <c r="AI42"/>
  <c r="AF42"/>
  <c r="AC42"/>
  <c r="Z42"/>
  <c r="W42"/>
  <c r="T42"/>
  <c r="Q42"/>
  <c r="N42"/>
  <c r="K42"/>
  <c r="H42"/>
  <c r="AN41"/>
  <c r="AM41"/>
  <c r="AL41"/>
  <c r="AI41"/>
  <c r="AF41"/>
  <c r="AC41"/>
  <c r="Z41"/>
  <c r="W41"/>
  <c r="T41"/>
  <c r="Q41"/>
  <c r="N41"/>
  <c r="K41"/>
  <c r="H41"/>
  <c r="AN40"/>
  <c r="AM40"/>
  <c r="AL40"/>
  <c r="AI40"/>
  <c r="AF40"/>
  <c r="AC40"/>
  <c r="Z40"/>
  <c r="W40"/>
  <c r="T40"/>
  <c r="Q40"/>
  <c r="N40"/>
  <c r="K40"/>
  <c r="H40"/>
  <c r="AN39"/>
  <c r="AM39"/>
  <c r="AL39"/>
  <c r="AI39"/>
  <c r="AF39"/>
  <c r="AC39"/>
  <c r="Z39"/>
  <c r="W39"/>
  <c r="T39"/>
  <c r="Q39"/>
  <c r="N39"/>
  <c r="K39"/>
  <c r="H39"/>
  <c r="AN38"/>
  <c r="AM38"/>
  <c r="AL38"/>
  <c r="AI38"/>
  <c r="AF38"/>
  <c r="AC38"/>
  <c r="Z38"/>
  <c r="W38"/>
  <c r="T38"/>
  <c r="Q38"/>
  <c r="N38"/>
  <c r="K38"/>
  <c r="H38"/>
  <c r="AO38" s="1"/>
  <c r="AN37"/>
  <c r="AM37"/>
  <c r="AL37"/>
  <c r="AI37"/>
  <c r="AF37"/>
  <c r="AC37"/>
  <c r="Z37"/>
  <c r="W37"/>
  <c r="T37"/>
  <c r="Q37"/>
  <c r="N37"/>
  <c r="K37"/>
  <c r="H37"/>
  <c r="AN36"/>
  <c r="AM36"/>
  <c r="AL36"/>
  <c r="AI36"/>
  <c r="AF36"/>
  <c r="AC36"/>
  <c r="Z36"/>
  <c r="W36"/>
  <c r="T36"/>
  <c r="Q36"/>
  <c r="N36"/>
  <c r="K36"/>
  <c r="H36"/>
  <c r="AN35"/>
  <c r="AM35"/>
  <c r="AL35"/>
  <c r="AI35"/>
  <c r="AF35"/>
  <c r="AC35"/>
  <c r="Z35"/>
  <c r="W35"/>
  <c r="T35"/>
  <c r="Q35"/>
  <c r="N35"/>
  <c r="K35"/>
  <c r="H35"/>
  <c r="AN34"/>
  <c r="AM34"/>
  <c r="AL34"/>
  <c r="AI34"/>
  <c r="AF34"/>
  <c r="AC34"/>
  <c r="Z34"/>
  <c r="W34"/>
  <c r="T34"/>
  <c r="Q34"/>
  <c r="N34"/>
  <c r="K34"/>
  <c r="H34"/>
  <c r="AN33"/>
  <c r="AM33"/>
  <c r="AL33"/>
  <c r="AI33"/>
  <c r="AF33"/>
  <c r="AC33"/>
  <c r="Z33"/>
  <c r="W33"/>
  <c r="T33"/>
  <c r="Q33"/>
  <c r="N33"/>
  <c r="K33"/>
  <c r="H33"/>
  <c r="AN32"/>
  <c r="AM32"/>
  <c r="AL32"/>
  <c r="AI32"/>
  <c r="AF32"/>
  <c r="AC32"/>
  <c r="Z32"/>
  <c r="W32"/>
  <c r="T32"/>
  <c r="Q32"/>
  <c r="N32"/>
  <c r="K32"/>
  <c r="H32"/>
  <c r="AN31"/>
  <c r="AM31"/>
  <c r="AL31"/>
  <c r="AI31"/>
  <c r="AF31"/>
  <c r="AC31"/>
  <c r="Z31"/>
  <c r="W31"/>
  <c r="T31"/>
  <c r="Q31"/>
  <c r="N31"/>
  <c r="K31"/>
  <c r="H31"/>
  <c r="AN30"/>
  <c r="AM30"/>
  <c r="AL30"/>
  <c r="AI30"/>
  <c r="AF30"/>
  <c r="AC30"/>
  <c r="Z30"/>
  <c r="W30"/>
  <c r="T30"/>
  <c r="Q30"/>
  <c r="N30"/>
  <c r="K30"/>
  <c r="H30"/>
  <c r="AN29"/>
  <c r="AM29"/>
  <c r="AL29"/>
  <c r="AI29"/>
  <c r="AF29"/>
  <c r="AC29"/>
  <c r="Z29"/>
  <c r="W29"/>
  <c r="T29"/>
  <c r="Q29"/>
  <c r="N29"/>
  <c r="K29"/>
  <c r="H29"/>
  <c r="AN28"/>
  <c r="AM28"/>
  <c r="AL28"/>
  <c r="AI28"/>
  <c r="AF28"/>
  <c r="AC28"/>
  <c r="Z28"/>
  <c r="W28"/>
  <c r="T28"/>
  <c r="Q28"/>
  <c r="N28"/>
  <c r="K28"/>
  <c r="H28"/>
  <c r="AN27"/>
  <c r="AM27"/>
  <c r="AL27"/>
  <c r="AI27"/>
  <c r="AF27"/>
  <c r="AC27"/>
  <c r="Z27"/>
  <c r="W27"/>
  <c r="T27"/>
  <c r="Q27"/>
  <c r="N27"/>
  <c r="K27"/>
  <c r="H27"/>
  <c r="AN26"/>
  <c r="AM26"/>
  <c r="AL26"/>
  <c r="AI26"/>
  <c r="AF26"/>
  <c r="AC26"/>
  <c r="Z26"/>
  <c r="W26"/>
  <c r="T26"/>
  <c r="Q26"/>
  <c r="N26"/>
  <c r="K26"/>
  <c r="H26"/>
  <c r="AN25"/>
  <c r="AM25"/>
  <c r="AL25"/>
  <c r="AI25"/>
  <c r="AF25"/>
  <c r="AC25"/>
  <c r="Z25"/>
  <c r="W25"/>
  <c r="T25"/>
  <c r="Q25"/>
  <c r="N25"/>
  <c r="K25"/>
  <c r="H25"/>
  <c r="AN24"/>
  <c r="AM24"/>
  <c r="AL24"/>
  <c r="AI24"/>
  <c r="AF24"/>
  <c r="AC24"/>
  <c r="Z24"/>
  <c r="W24"/>
  <c r="T24"/>
  <c r="Q24"/>
  <c r="N24"/>
  <c r="K24"/>
  <c r="H24"/>
  <c r="AN23"/>
  <c r="AM23"/>
  <c r="AL23"/>
  <c r="AI23"/>
  <c r="AF23"/>
  <c r="AC23"/>
  <c r="Z23"/>
  <c r="W23"/>
  <c r="T23"/>
  <c r="Q23"/>
  <c r="N23"/>
  <c r="K23"/>
  <c r="H23"/>
  <c r="AN22"/>
  <c r="AM22"/>
  <c r="AL22"/>
  <c r="AI22"/>
  <c r="AF22"/>
  <c r="AC22"/>
  <c r="Z22"/>
  <c r="W22"/>
  <c r="T22"/>
  <c r="Q22"/>
  <c r="N22"/>
  <c r="K22"/>
  <c r="H22"/>
  <c r="AN21"/>
  <c r="AM21"/>
  <c r="AL21"/>
  <c r="AI21"/>
  <c r="AF21"/>
  <c r="AC21"/>
  <c r="Z21"/>
  <c r="W21"/>
  <c r="T21"/>
  <c r="Q21"/>
  <c r="N21"/>
  <c r="K21"/>
  <c r="H21"/>
  <c r="AN20"/>
  <c r="AM20"/>
  <c r="AL20"/>
  <c r="AI20"/>
  <c r="AF20"/>
  <c r="AC20"/>
  <c r="Z20"/>
  <c r="W20"/>
  <c r="T20"/>
  <c r="Q20"/>
  <c r="N20"/>
  <c r="K20"/>
  <c r="H20"/>
  <c r="AN19"/>
  <c r="AM19"/>
  <c r="AL19"/>
  <c r="AI19"/>
  <c r="AF19"/>
  <c r="AC19"/>
  <c r="Z19"/>
  <c r="W19"/>
  <c r="T19"/>
  <c r="Q19"/>
  <c r="N19"/>
  <c r="K19"/>
  <c r="H19"/>
  <c r="AN18"/>
  <c r="AM18"/>
  <c r="AL18"/>
  <c r="AI18"/>
  <c r="AF18"/>
  <c r="AC18"/>
  <c r="Z18"/>
  <c r="W18"/>
  <c r="T18"/>
  <c r="Q18"/>
  <c r="N18"/>
  <c r="K18"/>
  <c r="H18"/>
  <c r="AN17"/>
  <c r="AM17"/>
  <c r="AL17"/>
  <c r="AI17"/>
  <c r="AF17"/>
  <c r="AC17"/>
  <c r="Z17"/>
  <c r="W17"/>
  <c r="T17"/>
  <c r="Q17"/>
  <c r="N17"/>
  <c r="K17"/>
  <c r="H17"/>
  <c r="AN16"/>
  <c r="AM16"/>
  <c r="AL16"/>
  <c r="AI16"/>
  <c r="AF16"/>
  <c r="AC16"/>
  <c r="Z16"/>
  <c r="W16"/>
  <c r="T16"/>
  <c r="Q16"/>
  <c r="N16"/>
  <c r="K16"/>
  <c r="H16"/>
  <c r="AN15"/>
  <c r="AM15"/>
  <c r="AL15"/>
  <c r="AI15"/>
  <c r="AF15"/>
  <c r="AC15"/>
  <c r="Z15"/>
  <c r="W15"/>
  <c r="T15"/>
  <c r="Q15"/>
  <c r="N15"/>
  <c r="K15"/>
  <c r="H15"/>
  <c r="AN14"/>
  <c r="AM14"/>
  <c r="AL14"/>
  <c r="AI14"/>
  <c r="AF14"/>
  <c r="AC14"/>
  <c r="Z14"/>
  <c r="W14"/>
  <c r="T14"/>
  <c r="Q14"/>
  <c r="N14"/>
  <c r="K14"/>
  <c r="H14"/>
  <c r="AN13"/>
  <c r="AM13"/>
  <c r="AL13"/>
  <c r="AI13"/>
  <c r="AF13"/>
  <c r="AC13"/>
  <c r="Z13"/>
  <c r="W13"/>
  <c r="T13"/>
  <c r="Q13"/>
  <c r="N13"/>
  <c r="K13"/>
  <c r="H13"/>
  <c r="AN12"/>
  <c r="AM12"/>
  <c r="AL12"/>
  <c r="AI12"/>
  <c r="AF12"/>
  <c r="AC12"/>
  <c r="Z12"/>
  <c r="W12"/>
  <c r="T12"/>
  <c r="Q12"/>
  <c r="N12"/>
  <c r="K12"/>
  <c r="H12"/>
  <c r="AN11"/>
  <c r="AM11"/>
  <c r="AL11"/>
  <c r="AI11"/>
  <c r="AF11"/>
  <c r="AC11"/>
  <c r="Z11"/>
  <c r="W11"/>
  <c r="T11"/>
  <c r="Q11"/>
  <c r="N11"/>
  <c r="K11"/>
  <c r="H11"/>
  <c r="AN10"/>
  <c r="AM10"/>
  <c r="AL10"/>
  <c r="AI10"/>
  <c r="AF10"/>
  <c r="AC10"/>
  <c r="T34" i="41" s="1"/>
  <c r="Z10" i="31"/>
  <c r="T33" i="41" s="1"/>
  <c r="W10" i="31"/>
  <c r="T31" i="41" s="1"/>
  <c r="T10" i="31"/>
  <c r="T30" i="41" s="1"/>
  <c r="Q10" i="31"/>
  <c r="T29" i="41" s="1"/>
  <c r="N10" i="31"/>
  <c r="T28" i="41" s="1"/>
  <c r="K10" i="31"/>
  <c r="T27" i="41" s="1"/>
  <c r="H10" i="31"/>
  <c r="T26" i="41" s="1"/>
  <c r="AN59" i="30"/>
  <c r="AM59"/>
  <c r="AL59"/>
  <c r="AI59"/>
  <c r="AF59"/>
  <c r="AC59"/>
  <c r="Z59"/>
  <c r="W59"/>
  <c r="T59"/>
  <c r="Q59"/>
  <c r="N59"/>
  <c r="K59"/>
  <c r="H59"/>
  <c r="AO59" s="1"/>
  <c r="AN58"/>
  <c r="AM58"/>
  <c r="AL58"/>
  <c r="AI58"/>
  <c r="AF58"/>
  <c r="AC58"/>
  <c r="Z58"/>
  <c r="W58"/>
  <c r="T58"/>
  <c r="Q58"/>
  <c r="N58"/>
  <c r="K58"/>
  <c r="H58"/>
  <c r="AP58" s="1"/>
  <c r="AN57"/>
  <c r="AM57"/>
  <c r="AL57"/>
  <c r="AI57"/>
  <c r="AF57"/>
  <c r="AC57"/>
  <c r="Z57"/>
  <c r="W57"/>
  <c r="T57"/>
  <c r="Q57"/>
  <c r="N57"/>
  <c r="K57"/>
  <c r="AO57" s="1"/>
  <c r="H57"/>
  <c r="AN56"/>
  <c r="AM56"/>
  <c r="AL56"/>
  <c r="AI56"/>
  <c r="AF56"/>
  <c r="AC56"/>
  <c r="Z56"/>
  <c r="W56"/>
  <c r="T56"/>
  <c r="Q56"/>
  <c r="N56"/>
  <c r="K56"/>
  <c r="H56"/>
  <c r="AO56" s="1"/>
  <c r="AN55"/>
  <c r="AM55"/>
  <c r="AL55"/>
  <c r="AI55"/>
  <c r="AF55"/>
  <c r="AC55"/>
  <c r="Z55"/>
  <c r="W55"/>
  <c r="T55"/>
  <c r="Q55"/>
  <c r="N55"/>
  <c r="K55"/>
  <c r="H55"/>
  <c r="AO55" s="1"/>
  <c r="AN54"/>
  <c r="AM54"/>
  <c r="AL54"/>
  <c r="AI54"/>
  <c r="AF54"/>
  <c r="AC54"/>
  <c r="Z54"/>
  <c r="W54"/>
  <c r="T54"/>
  <c r="Q54"/>
  <c r="AP54" s="1"/>
  <c r="N54"/>
  <c r="K54"/>
  <c r="H54"/>
  <c r="AO54" s="1"/>
  <c r="AN53"/>
  <c r="AM53"/>
  <c r="AL53"/>
  <c r="AI53"/>
  <c r="AF53"/>
  <c r="AC53"/>
  <c r="Z53"/>
  <c r="W53"/>
  <c r="T53"/>
  <c r="Q53"/>
  <c r="N53"/>
  <c r="AO53" s="1"/>
  <c r="K53"/>
  <c r="H53"/>
  <c r="AN52"/>
  <c r="AM52"/>
  <c r="AL52"/>
  <c r="AI52"/>
  <c r="AF52"/>
  <c r="AC52"/>
  <c r="Z52"/>
  <c r="W52"/>
  <c r="T52"/>
  <c r="Q52"/>
  <c r="N52"/>
  <c r="K52"/>
  <c r="H52"/>
  <c r="AN51"/>
  <c r="AM51"/>
  <c r="AL51"/>
  <c r="AI51"/>
  <c r="AF51"/>
  <c r="AC51"/>
  <c r="Z51"/>
  <c r="W51"/>
  <c r="T51"/>
  <c r="Q51"/>
  <c r="N51"/>
  <c r="K51"/>
  <c r="H51"/>
  <c r="AO51" s="1"/>
  <c r="AN50"/>
  <c r="AM50"/>
  <c r="AL50"/>
  <c r="AI50"/>
  <c r="AF50"/>
  <c r="AC50"/>
  <c r="Z50"/>
  <c r="W50"/>
  <c r="T50"/>
  <c r="Q50"/>
  <c r="N50"/>
  <c r="K50"/>
  <c r="H50"/>
  <c r="AP50" s="1"/>
  <c r="AN49"/>
  <c r="AM49"/>
  <c r="AL49"/>
  <c r="AI49"/>
  <c r="AF49"/>
  <c r="AC49"/>
  <c r="Z49"/>
  <c r="W49"/>
  <c r="T49"/>
  <c r="Q49"/>
  <c r="N49"/>
  <c r="K49"/>
  <c r="H49"/>
  <c r="AN48"/>
  <c r="AM48"/>
  <c r="AL48"/>
  <c r="AI48"/>
  <c r="AF48"/>
  <c r="AC48"/>
  <c r="Z48"/>
  <c r="W48"/>
  <c r="T48"/>
  <c r="Q48"/>
  <c r="N48"/>
  <c r="K48"/>
  <c r="H48"/>
  <c r="AN47"/>
  <c r="AM47"/>
  <c r="AL47"/>
  <c r="AI47"/>
  <c r="AF47"/>
  <c r="AC47"/>
  <c r="Z47"/>
  <c r="W47"/>
  <c r="T47"/>
  <c r="Q47"/>
  <c r="N47"/>
  <c r="K47"/>
  <c r="H47"/>
  <c r="AN46"/>
  <c r="AM46"/>
  <c r="AL46"/>
  <c r="AI46"/>
  <c r="AF46"/>
  <c r="AC46"/>
  <c r="Z46"/>
  <c r="W46"/>
  <c r="T46"/>
  <c r="Q46"/>
  <c r="N46"/>
  <c r="K46"/>
  <c r="H46"/>
  <c r="AN45"/>
  <c r="AM45"/>
  <c r="AL45"/>
  <c r="AI45"/>
  <c r="AF45"/>
  <c r="AC45"/>
  <c r="Z45"/>
  <c r="W45"/>
  <c r="T45"/>
  <c r="Q45"/>
  <c r="N45"/>
  <c r="K45"/>
  <c r="H45"/>
  <c r="AN44"/>
  <c r="AM44"/>
  <c r="AL44"/>
  <c r="AI44"/>
  <c r="AF44"/>
  <c r="AC44"/>
  <c r="Z44"/>
  <c r="W44"/>
  <c r="T44"/>
  <c r="Q44"/>
  <c r="N44"/>
  <c r="K44"/>
  <c r="H44"/>
  <c r="AN43"/>
  <c r="AM43"/>
  <c r="AL43"/>
  <c r="AI43"/>
  <c r="AF43"/>
  <c r="AC43"/>
  <c r="Z43"/>
  <c r="W43"/>
  <c r="T43"/>
  <c r="Q43"/>
  <c r="N43"/>
  <c r="K43"/>
  <c r="H43"/>
  <c r="AN42"/>
  <c r="AM42"/>
  <c r="AL42"/>
  <c r="AI42"/>
  <c r="AF42"/>
  <c r="AC42"/>
  <c r="Z42"/>
  <c r="W42"/>
  <c r="T42"/>
  <c r="Q42"/>
  <c r="N42"/>
  <c r="K42"/>
  <c r="H42"/>
  <c r="AN41"/>
  <c r="AM41"/>
  <c r="AL41"/>
  <c r="AI41"/>
  <c r="AF41"/>
  <c r="AC41"/>
  <c r="Z41"/>
  <c r="W41"/>
  <c r="T41"/>
  <c r="Q41"/>
  <c r="N41"/>
  <c r="K41"/>
  <c r="H41"/>
  <c r="AN40"/>
  <c r="AM40"/>
  <c r="AL40"/>
  <c r="AI40"/>
  <c r="AF40"/>
  <c r="AC40"/>
  <c r="Z40"/>
  <c r="W40"/>
  <c r="T40"/>
  <c r="Q40"/>
  <c r="N40"/>
  <c r="K40"/>
  <c r="H40"/>
  <c r="AN39"/>
  <c r="AM39"/>
  <c r="AL39"/>
  <c r="AI39"/>
  <c r="AF39"/>
  <c r="AC39"/>
  <c r="Z39"/>
  <c r="W39"/>
  <c r="T39"/>
  <c r="Q39"/>
  <c r="N39"/>
  <c r="K39"/>
  <c r="H39"/>
  <c r="AN38"/>
  <c r="AM38"/>
  <c r="AL38"/>
  <c r="AI38"/>
  <c r="AF38"/>
  <c r="AC38"/>
  <c r="Z38"/>
  <c r="W38"/>
  <c r="T38"/>
  <c r="Q38"/>
  <c r="N38"/>
  <c r="K38"/>
  <c r="H38"/>
  <c r="AN37"/>
  <c r="AM37"/>
  <c r="AL37"/>
  <c r="AI37"/>
  <c r="AF37"/>
  <c r="AC37"/>
  <c r="Z37"/>
  <c r="W37"/>
  <c r="T37"/>
  <c r="Q37"/>
  <c r="N37"/>
  <c r="K37"/>
  <c r="H37"/>
  <c r="AN36"/>
  <c r="AM36"/>
  <c r="AL36"/>
  <c r="AI36"/>
  <c r="AF36"/>
  <c r="AC36"/>
  <c r="Z36"/>
  <c r="W36"/>
  <c r="T36"/>
  <c r="Q36"/>
  <c r="N36"/>
  <c r="K36"/>
  <c r="H36"/>
  <c r="AN35"/>
  <c r="AM35"/>
  <c r="AL35"/>
  <c r="AI35"/>
  <c r="AF35"/>
  <c r="AC35"/>
  <c r="Z35"/>
  <c r="W35"/>
  <c r="T35"/>
  <c r="Q35"/>
  <c r="N35"/>
  <c r="K35"/>
  <c r="H35"/>
  <c r="AN34"/>
  <c r="AM34"/>
  <c r="AL34"/>
  <c r="AI34"/>
  <c r="AF34"/>
  <c r="AC34"/>
  <c r="Z34"/>
  <c r="W34"/>
  <c r="T34"/>
  <c r="Q34"/>
  <c r="N34"/>
  <c r="K34"/>
  <c r="H34"/>
  <c r="AN33"/>
  <c r="AM33"/>
  <c r="AL33"/>
  <c r="AI33"/>
  <c r="AF33"/>
  <c r="AC33"/>
  <c r="Z33"/>
  <c r="W33"/>
  <c r="T33"/>
  <c r="Q33"/>
  <c r="N33"/>
  <c r="K33"/>
  <c r="H33"/>
  <c r="AN32"/>
  <c r="AM32"/>
  <c r="AL32"/>
  <c r="AI32"/>
  <c r="AF32"/>
  <c r="AC32"/>
  <c r="Z32"/>
  <c r="W32"/>
  <c r="T32"/>
  <c r="Q32"/>
  <c r="N32"/>
  <c r="K32"/>
  <c r="H32"/>
  <c r="AN31"/>
  <c r="AM31"/>
  <c r="AL31"/>
  <c r="AI31"/>
  <c r="AF31"/>
  <c r="AC31"/>
  <c r="Z31"/>
  <c r="W31"/>
  <c r="T31"/>
  <c r="Q31"/>
  <c r="N31"/>
  <c r="K31"/>
  <c r="H31"/>
  <c r="AN30"/>
  <c r="AM30"/>
  <c r="AL30"/>
  <c r="AI30"/>
  <c r="AF30"/>
  <c r="AC30"/>
  <c r="Z30"/>
  <c r="W30"/>
  <c r="T30"/>
  <c r="Q30"/>
  <c r="N30"/>
  <c r="K30"/>
  <c r="H30"/>
  <c r="AN29"/>
  <c r="AM29"/>
  <c r="AL29"/>
  <c r="AI29"/>
  <c r="AF29"/>
  <c r="AC29"/>
  <c r="Z29"/>
  <c r="W29"/>
  <c r="T29"/>
  <c r="Q29"/>
  <c r="N29"/>
  <c r="K29"/>
  <c r="H29"/>
  <c r="AN28"/>
  <c r="AM28"/>
  <c r="AL28"/>
  <c r="AI28"/>
  <c r="AF28"/>
  <c r="AC28"/>
  <c r="Z28"/>
  <c r="W28"/>
  <c r="T28"/>
  <c r="Q28"/>
  <c r="N28"/>
  <c r="K28"/>
  <c r="H28"/>
  <c r="AN27"/>
  <c r="AM27"/>
  <c r="AL27"/>
  <c r="AI27"/>
  <c r="AF27"/>
  <c r="AC27"/>
  <c r="Z27"/>
  <c r="W27"/>
  <c r="T27"/>
  <c r="Q27"/>
  <c r="N27"/>
  <c r="K27"/>
  <c r="H27"/>
  <c r="AN26"/>
  <c r="AM26"/>
  <c r="AL26"/>
  <c r="AI26"/>
  <c r="AF26"/>
  <c r="AC26"/>
  <c r="Z26"/>
  <c r="W26"/>
  <c r="T26"/>
  <c r="Q26"/>
  <c r="N26"/>
  <c r="K26"/>
  <c r="H26"/>
  <c r="AN25"/>
  <c r="AM25"/>
  <c r="AL25"/>
  <c r="AI25"/>
  <c r="AF25"/>
  <c r="AC25"/>
  <c r="Z25"/>
  <c r="W25"/>
  <c r="T25"/>
  <c r="Q25"/>
  <c r="N25"/>
  <c r="K25"/>
  <c r="H25"/>
  <c r="AN24"/>
  <c r="AM24"/>
  <c r="AL24"/>
  <c r="AI24"/>
  <c r="AF24"/>
  <c r="AC24"/>
  <c r="Z24"/>
  <c r="W24"/>
  <c r="T24"/>
  <c r="Q24"/>
  <c r="N24"/>
  <c r="K24"/>
  <c r="H24"/>
  <c r="AN23"/>
  <c r="AM23"/>
  <c r="AL23"/>
  <c r="AI23"/>
  <c r="AF23"/>
  <c r="AC23"/>
  <c r="Z23"/>
  <c r="W23"/>
  <c r="T23"/>
  <c r="Q23"/>
  <c r="N23"/>
  <c r="K23"/>
  <c r="H23"/>
  <c r="AN22"/>
  <c r="AM22"/>
  <c r="AL22"/>
  <c r="AI22"/>
  <c r="AF22"/>
  <c r="AC22"/>
  <c r="Z22"/>
  <c r="W22"/>
  <c r="T22"/>
  <c r="Q22"/>
  <c r="N22"/>
  <c r="K22"/>
  <c r="H22"/>
  <c r="AN21"/>
  <c r="AM21"/>
  <c r="AL21"/>
  <c r="AI21"/>
  <c r="AF21"/>
  <c r="AC21"/>
  <c r="Z21"/>
  <c r="W21"/>
  <c r="T21"/>
  <c r="Q21"/>
  <c r="N21"/>
  <c r="K21"/>
  <c r="H21"/>
  <c r="AN20"/>
  <c r="AM20"/>
  <c r="AL20"/>
  <c r="AI20"/>
  <c r="AF20"/>
  <c r="AC20"/>
  <c r="Z20"/>
  <c r="W20"/>
  <c r="T20"/>
  <c r="Q20"/>
  <c r="N20"/>
  <c r="K20"/>
  <c r="H20"/>
  <c r="AN19"/>
  <c r="AM19"/>
  <c r="AL19"/>
  <c r="AI19"/>
  <c r="AF19"/>
  <c r="AC19"/>
  <c r="Z19"/>
  <c r="W19"/>
  <c r="T19"/>
  <c r="Q19"/>
  <c r="N19"/>
  <c r="K19"/>
  <c r="H19"/>
  <c r="AN18"/>
  <c r="AM18"/>
  <c r="AL18"/>
  <c r="AI18"/>
  <c r="AF18"/>
  <c r="AC18"/>
  <c r="Z18"/>
  <c r="W18"/>
  <c r="T18"/>
  <c r="Q18"/>
  <c r="N18"/>
  <c r="K18"/>
  <c r="H18"/>
  <c r="AN17"/>
  <c r="AM17"/>
  <c r="AL17"/>
  <c r="AI17"/>
  <c r="AF17"/>
  <c r="AC17"/>
  <c r="Z17"/>
  <c r="W17"/>
  <c r="T17"/>
  <c r="Q17"/>
  <c r="N17"/>
  <c r="K17"/>
  <c r="H17"/>
  <c r="AN16"/>
  <c r="AM16"/>
  <c r="AL16"/>
  <c r="AI16"/>
  <c r="AF16"/>
  <c r="AC16"/>
  <c r="Z16"/>
  <c r="W16"/>
  <c r="T16"/>
  <c r="Q16"/>
  <c r="N16"/>
  <c r="K16"/>
  <c r="H16"/>
  <c r="AN15"/>
  <c r="AM15"/>
  <c r="AL15"/>
  <c r="AI15"/>
  <c r="AF15"/>
  <c r="AC15"/>
  <c r="Z15"/>
  <c r="W15"/>
  <c r="T15"/>
  <c r="Q15"/>
  <c r="N15"/>
  <c r="K15"/>
  <c r="H15"/>
  <c r="AN14"/>
  <c r="AM14"/>
  <c r="AL14"/>
  <c r="AI14"/>
  <c r="AF14"/>
  <c r="AC14"/>
  <c r="Z14"/>
  <c r="W14"/>
  <c r="T14"/>
  <c r="Q14"/>
  <c r="N14"/>
  <c r="K14"/>
  <c r="H14"/>
  <c r="AN13"/>
  <c r="AM13"/>
  <c r="AL13"/>
  <c r="AI13"/>
  <c r="AF13"/>
  <c r="AC13"/>
  <c r="Z13"/>
  <c r="W13"/>
  <c r="T13"/>
  <c r="Q13"/>
  <c r="N13"/>
  <c r="K13"/>
  <c r="H13"/>
  <c r="AN12"/>
  <c r="AM12"/>
  <c r="AL12"/>
  <c r="AI12"/>
  <c r="AF12"/>
  <c r="AC12"/>
  <c r="Z12"/>
  <c r="W12"/>
  <c r="T12"/>
  <c r="Q12"/>
  <c r="N12"/>
  <c r="K12"/>
  <c r="H12"/>
  <c r="AN11"/>
  <c r="AM11"/>
  <c r="AL11"/>
  <c r="AI11"/>
  <c r="AF11"/>
  <c r="AC11"/>
  <c r="Z11"/>
  <c r="W11"/>
  <c r="T11"/>
  <c r="Q11"/>
  <c r="N11"/>
  <c r="K11"/>
  <c r="H11"/>
  <c r="AN10"/>
  <c r="AM10"/>
  <c r="AL10"/>
  <c r="AI10"/>
  <c r="AF10"/>
  <c r="Q36" i="41" s="1"/>
  <c r="AC10" i="30"/>
  <c r="Q34" i="41" s="1"/>
  <c r="Z10" i="30"/>
  <c r="Q33" i="41" s="1"/>
  <c r="W10" i="30"/>
  <c r="Q31" i="41" s="1"/>
  <c r="T10" i="30"/>
  <c r="Q30" i="41" s="1"/>
  <c r="Q10" i="30"/>
  <c r="Q29" i="41" s="1"/>
  <c r="N10" i="30"/>
  <c r="Q28" i="41" s="1"/>
  <c r="K10" i="30"/>
  <c r="Q27" i="41" s="1"/>
  <c r="H10" i="30"/>
  <c r="AN59" i="29"/>
  <c r="AM59"/>
  <c r="AL59"/>
  <c r="AI59"/>
  <c r="AF59"/>
  <c r="AC59"/>
  <c r="Z59"/>
  <c r="W59"/>
  <c r="T59"/>
  <c r="Q59"/>
  <c r="N59"/>
  <c r="K59"/>
  <c r="H59"/>
  <c r="AO59" s="1"/>
  <c r="AN58"/>
  <c r="AM58"/>
  <c r="AL58"/>
  <c r="AI58"/>
  <c r="AF58"/>
  <c r="AC58"/>
  <c r="Z58"/>
  <c r="W58"/>
  <c r="T58"/>
  <c r="Q58"/>
  <c r="N58"/>
  <c r="K58"/>
  <c r="H58"/>
  <c r="AP58" s="1"/>
  <c r="AN57"/>
  <c r="AM57"/>
  <c r="AL57"/>
  <c r="AI57"/>
  <c r="AF57"/>
  <c r="AC57"/>
  <c r="Z57"/>
  <c r="W57"/>
  <c r="T57"/>
  <c r="Q57"/>
  <c r="N57"/>
  <c r="K57"/>
  <c r="AP57" s="1"/>
  <c r="H57"/>
  <c r="AO57" s="1"/>
  <c r="AN56"/>
  <c r="AM56"/>
  <c r="AL56"/>
  <c r="AI56"/>
  <c r="AF56"/>
  <c r="AC56"/>
  <c r="Z56"/>
  <c r="W56"/>
  <c r="T56"/>
  <c r="Q56"/>
  <c r="N56"/>
  <c r="K56"/>
  <c r="H56"/>
  <c r="AO56" s="1"/>
  <c r="AN55"/>
  <c r="AM55"/>
  <c r="AL55"/>
  <c r="AI55"/>
  <c r="AF55"/>
  <c r="AC55"/>
  <c r="Z55"/>
  <c r="W55"/>
  <c r="T55"/>
  <c r="Q55"/>
  <c r="N55"/>
  <c r="K55"/>
  <c r="AO55" s="1"/>
  <c r="H55"/>
  <c r="AP55" s="1"/>
  <c r="AN54"/>
  <c r="AM54"/>
  <c r="AL54"/>
  <c r="AI54"/>
  <c r="AF54"/>
  <c r="AC54"/>
  <c r="Z54"/>
  <c r="W54"/>
  <c r="T54"/>
  <c r="Q54"/>
  <c r="N54"/>
  <c r="K54"/>
  <c r="H54"/>
  <c r="AN53"/>
  <c r="AM53"/>
  <c r="AL53"/>
  <c r="AI53"/>
  <c r="AF53"/>
  <c r="AC53"/>
  <c r="Z53"/>
  <c r="W53"/>
  <c r="T53"/>
  <c r="Q53"/>
  <c r="N53"/>
  <c r="K53"/>
  <c r="H53"/>
  <c r="AN52"/>
  <c r="AM52"/>
  <c r="AL52"/>
  <c r="AI52"/>
  <c r="AF52"/>
  <c r="AC52"/>
  <c r="Z52"/>
  <c r="W52"/>
  <c r="T52"/>
  <c r="Q52"/>
  <c r="N52"/>
  <c r="K52"/>
  <c r="H52"/>
  <c r="AO52" s="1"/>
  <c r="AN51"/>
  <c r="AM51"/>
  <c r="AL51"/>
  <c r="AI51"/>
  <c r="AF51"/>
  <c r="AC51"/>
  <c r="Z51"/>
  <c r="W51"/>
  <c r="T51"/>
  <c r="Q51"/>
  <c r="N51"/>
  <c r="K51"/>
  <c r="H51"/>
  <c r="AN50"/>
  <c r="AM50"/>
  <c r="AL50"/>
  <c r="AI50"/>
  <c r="AF50"/>
  <c r="AC50"/>
  <c r="Z50"/>
  <c r="W50"/>
  <c r="T50"/>
  <c r="Q50"/>
  <c r="N50"/>
  <c r="K50"/>
  <c r="H50"/>
  <c r="AN49"/>
  <c r="AM49"/>
  <c r="AL49"/>
  <c r="AI49"/>
  <c r="AF49"/>
  <c r="AC49"/>
  <c r="Z49"/>
  <c r="W49"/>
  <c r="T49"/>
  <c r="Q49"/>
  <c r="AP49" s="1"/>
  <c r="N49"/>
  <c r="K49"/>
  <c r="H49"/>
  <c r="AN48"/>
  <c r="AM48"/>
  <c r="AL48"/>
  <c r="AI48"/>
  <c r="AF48"/>
  <c r="AC48"/>
  <c r="Z48"/>
  <c r="W48"/>
  <c r="T48"/>
  <c r="Q48"/>
  <c r="N48"/>
  <c r="K48"/>
  <c r="H48"/>
  <c r="AP48" s="1"/>
  <c r="AN47"/>
  <c r="AM47"/>
  <c r="AL47"/>
  <c r="AI47"/>
  <c r="AF47"/>
  <c r="AC47"/>
  <c r="Z47"/>
  <c r="W47"/>
  <c r="T47"/>
  <c r="Q47"/>
  <c r="N47"/>
  <c r="K47"/>
  <c r="H47"/>
  <c r="AO47" s="1"/>
  <c r="AN46"/>
  <c r="AM46"/>
  <c r="AL46"/>
  <c r="AI46"/>
  <c r="AF46"/>
  <c r="AC46"/>
  <c r="Z46"/>
  <c r="W46"/>
  <c r="T46"/>
  <c r="Q46"/>
  <c r="N46"/>
  <c r="K46"/>
  <c r="H46"/>
  <c r="AN45"/>
  <c r="AM45"/>
  <c r="AL45"/>
  <c r="AI45"/>
  <c r="AF45"/>
  <c r="AC45"/>
  <c r="Z45"/>
  <c r="W45"/>
  <c r="T45"/>
  <c r="Q45"/>
  <c r="N45"/>
  <c r="K45"/>
  <c r="H45"/>
  <c r="AN44"/>
  <c r="AM44"/>
  <c r="AL44"/>
  <c r="AI44"/>
  <c r="AF44"/>
  <c r="AC44"/>
  <c r="Z44"/>
  <c r="W44"/>
  <c r="T44"/>
  <c r="Q44"/>
  <c r="N44"/>
  <c r="K44"/>
  <c r="H44"/>
  <c r="AN43"/>
  <c r="AM43"/>
  <c r="AL43"/>
  <c r="AI43"/>
  <c r="AF43"/>
  <c r="AC43"/>
  <c r="Z43"/>
  <c r="W43"/>
  <c r="T43"/>
  <c r="Q43"/>
  <c r="N43"/>
  <c r="K43"/>
  <c r="H43"/>
  <c r="AN42"/>
  <c r="AM42"/>
  <c r="AL42"/>
  <c r="AI42"/>
  <c r="AF42"/>
  <c r="AC42"/>
  <c r="Z42"/>
  <c r="W42"/>
  <c r="T42"/>
  <c r="Q42"/>
  <c r="N42"/>
  <c r="K42"/>
  <c r="H42"/>
  <c r="AN41"/>
  <c r="AM41"/>
  <c r="AL41"/>
  <c r="AI41"/>
  <c r="AF41"/>
  <c r="AC41"/>
  <c r="Z41"/>
  <c r="W41"/>
  <c r="T41"/>
  <c r="Q41"/>
  <c r="N41"/>
  <c r="K41"/>
  <c r="H41"/>
  <c r="AN40"/>
  <c r="AM40"/>
  <c r="AL40"/>
  <c r="AI40"/>
  <c r="AF40"/>
  <c r="AC40"/>
  <c r="Z40"/>
  <c r="W40"/>
  <c r="T40"/>
  <c r="Q40"/>
  <c r="N40"/>
  <c r="K40"/>
  <c r="H40"/>
  <c r="AN39"/>
  <c r="AM39"/>
  <c r="AL39"/>
  <c r="AI39"/>
  <c r="AF39"/>
  <c r="AC39"/>
  <c r="Z39"/>
  <c r="W39"/>
  <c r="T39"/>
  <c r="Q39"/>
  <c r="N39"/>
  <c r="K39"/>
  <c r="H39"/>
  <c r="AN38"/>
  <c r="AM38"/>
  <c r="AL38"/>
  <c r="AI38"/>
  <c r="AF38"/>
  <c r="AC38"/>
  <c r="Z38"/>
  <c r="W38"/>
  <c r="T38"/>
  <c r="Q38"/>
  <c r="N38"/>
  <c r="K38"/>
  <c r="H38"/>
  <c r="AN37"/>
  <c r="AM37"/>
  <c r="AL37"/>
  <c r="AI37"/>
  <c r="AF37"/>
  <c r="AC37"/>
  <c r="Z37"/>
  <c r="W37"/>
  <c r="T37"/>
  <c r="Q37"/>
  <c r="N37"/>
  <c r="K37"/>
  <c r="H37"/>
  <c r="AN36"/>
  <c r="AM36"/>
  <c r="AL36"/>
  <c r="AI36"/>
  <c r="AF36"/>
  <c r="AC36"/>
  <c r="Z36"/>
  <c r="W36"/>
  <c r="T36"/>
  <c r="Q36"/>
  <c r="N36"/>
  <c r="K36"/>
  <c r="H36"/>
  <c r="AN35"/>
  <c r="AM35"/>
  <c r="AL35"/>
  <c r="AI35"/>
  <c r="AF35"/>
  <c r="AC35"/>
  <c r="Z35"/>
  <c r="W35"/>
  <c r="T35"/>
  <c r="Q35"/>
  <c r="N35"/>
  <c r="K35"/>
  <c r="H35"/>
  <c r="AN34"/>
  <c r="AM34"/>
  <c r="AL34"/>
  <c r="AI34"/>
  <c r="AF34"/>
  <c r="AC34"/>
  <c r="Z34"/>
  <c r="W34"/>
  <c r="T34"/>
  <c r="Q34"/>
  <c r="N34"/>
  <c r="K34"/>
  <c r="H34"/>
  <c r="AN33"/>
  <c r="AM33"/>
  <c r="AL33"/>
  <c r="AI33"/>
  <c r="AF33"/>
  <c r="AC33"/>
  <c r="Z33"/>
  <c r="W33"/>
  <c r="T33"/>
  <c r="Q33"/>
  <c r="N33"/>
  <c r="K33"/>
  <c r="H33"/>
  <c r="AN32"/>
  <c r="AM32"/>
  <c r="AL32"/>
  <c r="AI32"/>
  <c r="AF32"/>
  <c r="AC32"/>
  <c r="Z32"/>
  <c r="W32"/>
  <c r="T32"/>
  <c r="Q32"/>
  <c r="N32"/>
  <c r="K32"/>
  <c r="H32"/>
  <c r="AN31"/>
  <c r="AM31"/>
  <c r="AL31"/>
  <c r="AI31"/>
  <c r="AF31"/>
  <c r="AC31"/>
  <c r="Z31"/>
  <c r="W31"/>
  <c r="T31"/>
  <c r="Q31"/>
  <c r="N31"/>
  <c r="K31"/>
  <c r="H31"/>
  <c r="AN30"/>
  <c r="AM30"/>
  <c r="AL30"/>
  <c r="AI30"/>
  <c r="AF30"/>
  <c r="AC30"/>
  <c r="Z30"/>
  <c r="W30"/>
  <c r="T30"/>
  <c r="Q30"/>
  <c r="N30"/>
  <c r="K30"/>
  <c r="H30"/>
  <c r="AN29"/>
  <c r="AM29"/>
  <c r="AL29"/>
  <c r="AI29"/>
  <c r="AF29"/>
  <c r="AC29"/>
  <c r="Z29"/>
  <c r="W29"/>
  <c r="T29"/>
  <c r="Q29"/>
  <c r="N29"/>
  <c r="K29"/>
  <c r="H29"/>
  <c r="AN28"/>
  <c r="AM28"/>
  <c r="AL28"/>
  <c r="AI28"/>
  <c r="AF28"/>
  <c r="AC28"/>
  <c r="Z28"/>
  <c r="W28"/>
  <c r="T28"/>
  <c r="Q28"/>
  <c r="N28"/>
  <c r="K28"/>
  <c r="H28"/>
  <c r="AN27"/>
  <c r="AM27"/>
  <c r="AL27"/>
  <c r="AI27"/>
  <c r="AF27"/>
  <c r="AC27"/>
  <c r="Z27"/>
  <c r="W27"/>
  <c r="T27"/>
  <c r="Q27"/>
  <c r="N27"/>
  <c r="K27"/>
  <c r="H27"/>
  <c r="AN26"/>
  <c r="AM26"/>
  <c r="AL26"/>
  <c r="AI26"/>
  <c r="AF26"/>
  <c r="AC26"/>
  <c r="Z26"/>
  <c r="W26"/>
  <c r="T26"/>
  <c r="Q26"/>
  <c r="N26"/>
  <c r="K26"/>
  <c r="H26"/>
  <c r="AN25"/>
  <c r="AM25"/>
  <c r="AL25"/>
  <c r="AI25"/>
  <c r="AF25"/>
  <c r="AC25"/>
  <c r="Z25"/>
  <c r="W25"/>
  <c r="T25"/>
  <c r="Q25"/>
  <c r="N25"/>
  <c r="K25"/>
  <c r="H25"/>
  <c r="AN24"/>
  <c r="AM24"/>
  <c r="AL24"/>
  <c r="AI24"/>
  <c r="AF24"/>
  <c r="AC24"/>
  <c r="Z24"/>
  <c r="W24"/>
  <c r="T24"/>
  <c r="Q24"/>
  <c r="N24"/>
  <c r="K24"/>
  <c r="H24"/>
  <c r="AN23"/>
  <c r="AM23"/>
  <c r="AL23"/>
  <c r="AI23"/>
  <c r="AF23"/>
  <c r="AC23"/>
  <c r="Z23"/>
  <c r="W23"/>
  <c r="T23"/>
  <c r="Q23"/>
  <c r="N23"/>
  <c r="K23"/>
  <c r="H23"/>
  <c r="AN22"/>
  <c r="AM22"/>
  <c r="AL22"/>
  <c r="AI22"/>
  <c r="AF22"/>
  <c r="AC22"/>
  <c r="Z22"/>
  <c r="W22"/>
  <c r="T22"/>
  <c r="Q22"/>
  <c r="N22"/>
  <c r="K22"/>
  <c r="H22"/>
  <c r="AN21"/>
  <c r="AM21"/>
  <c r="AL21"/>
  <c r="AI21"/>
  <c r="AF21"/>
  <c r="AC21"/>
  <c r="Z21"/>
  <c r="W21"/>
  <c r="T21"/>
  <c r="Q21"/>
  <c r="N21"/>
  <c r="K21"/>
  <c r="H21"/>
  <c r="AN20"/>
  <c r="AM20"/>
  <c r="AL20"/>
  <c r="AI20"/>
  <c r="AF20"/>
  <c r="AC20"/>
  <c r="Z20"/>
  <c r="W20"/>
  <c r="T20"/>
  <c r="Q20"/>
  <c r="N20"/>
  <c r="K20"/>
  <c r="H20"/>
  <c r="AN19"/>
  <c r="AM19"/>
  <c r="AL19"/>
  <c r="AI19"/>
  <c r="AF19"/>
  <c r="AC19"/>
  <c r="Z19"/>
  <c r="W19"/>
  <c r="T19"/>
  <c r="Q19"/>
  <c r="N19"/>
  <c r="K19"/>
  <c r="H19"/>
  <c r="AN18"/>
  <c r="AM18"/>
  <c r="AL18"/>
  <c r="AI18"/>
  <c r="AF18"/>
  <c r="AC18"/>
  <c r="Z18"/>
  <c r="W18"/>
  <c r="T18"/>
  <c r="Q18"/>
  <c r="N18"/>
  <c r="K18"/>
  <c r="H18"/>
  <c r="AN17"/>
  <c r="AM17"/>
  <c r="AL17"/>
  <c r="AI17"/>
  <c r="AF17"/>
  <c r="AC17"/>
  <c r="Z17"/>
  <c r="W17"/>
  <c r="T17"/>
  <c r="Q17"/>
  <c r="N17"/>
  <c r="K17"/>
  <c r="H17"/>
  <c r="AN16"/>
  <c r="AM16"/>
  <c r="AL16"/>
  <c r="AI16"/>
  <c r="AF16"/>
  <c r="AC16"/>
  <c r="Z16"/>
  <c r="W16"/>
  <c r="T16"/>
  <c r="Q16"/>
  <c r="N16"/>
  <c r="K16"/>
  <c r="H16"/>
  <c r="AN15"/>
  <c r="AM15"/>
  <c r="AL15"/>
  <c r="AI15"/>
  <c r="AF15"/>
  <c r="AC15"/>
  <c r="Z15"/>
  <c r="W15"/>
  <c r="T15"/>
  <c r="Q15"/>
  <c r="N15"/>
  <c r="K15"/>
  <c r="H15"/>
  <c r="AN14"/>
  <c r="AM14"/>
  <c r="AL14"/>
  <c r="AI14"/>
  <c r="AF14"/>
  <c r="AC14"/>
  <c r="Z14"/>
  <c r="W14"/>
  <c r="T14"/>
  <c r="Q14"/>
  <c r="N14"/>
  <c r="K14"/>
  <c r="H14"/>
  <c r="AN13"/>
  <c r="AM13"/>
  <c r="AL13"/>
  <c r="AI13"/>
  <c r="AF13"/>
  <c r="AC13"/>
  <c r="Z13"/>
  <c r="W13"/>
  <c r="T13"/>
  <c r="Q13"/>
  <c r="N13"/>
  <c r="K13"/>
  <c r="H13"/>
  <c r="AN12"/>
  <c r="AM12"/>
  <c r="AL12"/>
  <c r="AI12"/>
  <c r="AF12"/>
  <c r="AC12"/>
  <c r="Z12"/>
  <c r="W12"/>
  <c r="T12"/>
  <c r="Q12"/>
  <c r="N12"/>
  <c r="K12"/>
  <c r="H12"/>
  <c r="AN11"/>
  <c r="AM11"/>
  <c r="AL11"/>
  <c r="AI11"/>
  <c r="AF11"/>
  <c r="AC11"/>
  <c r="Z11"/>
  <c r="W11"/>
  <c r="T11"/>
  <c r="Q11"/>
  <c r="N11"/>
  <c r="K11"/>
  <c r="H11"/>
  <c r="AN10"/>
  <c r="AM10"/>
  <c r="AL10"/>
  <c r="AI10"/>
  <c r="AF10"/>
  <c r="N36" i="41" s="1"/>
  <c r="AC10" i="29"/>
  <c r="N34" i="41" s="1"/>
  <c r="Z10" i="29"/>
  <c r="N33" i="41" s="1"/>
  <c r="W10" i="29"/>
  <c r="N31" i="41" s="1"/>
  <c r="T10" i="29"/>
  <c r="N30" i="41" s="1"/>
  <c r="Q10" i="29"/>
  <c r="N29" i="41" s="1"/>
  <c r="N10" i="29"/>
  <c r="N28" i="41" s="1"/>
  <c r="K10" i="29"/>
  <c r="N27" i="41" s="1"/>
  <c r="H10" i="29"/>
  <c r="N26" i="41" s="1"/>
  <c r="AL59" i="27"/>
  <c r="AL58"/>
  <c r="AL57"/>
  <c r="AL56"/>
  <c r="AL55"/>
  <c r="AL54"/>
  <c r="AL53"/>
  <c r="AL52"/>
  <c r="AL51"/>
  <c r="AL50"/>
  <c r="AL49"/>
  <c r="AL48"/>
  <c r="AL47"/>
  <c r="AL46"/>
  <c r="AL45"/>
  <c r="AL44"/>
  <c r="AL43"/>
  <c r="AL42"/>
  <c r="AL41"/>
  <c r="AL40"/>
  <c r="AL39"/>
  <c r="AL38"/>
  <c r="AL37"/>
  <c r="AL36"/>
  <c r="AL35"/>
  <c r="AL34"/>
  <c r="AL33"/>
  <c r="AL32"/>
  <c r="AL31"/>
  <c r="AL30"/>
  <c r="AL29"/>
  <c r="AL28"/>
  <c r="AL27"/>
  <c r="AL26"/>
  <c r="AL25"/>
  <c r="AL24"/>
  <c r="AL23"/>
  <c r="AL22"/>
  <c r="AL21"/>
  <c r="AL20"/>
  <c r="AL19"/>
  <c r="AL18"/>
  <c r="AL17"/>
  <c r="AL16"/>
  <c r="AL15"/>
  <c r="AL14"/>
  <c r="AL13"/>
  <c r="AL12"/>
  <c r="AL11"/>
  <c r="AL10"/>
  <c r="AI59"/>
  <c r="AI58"/>
  <c r="AI57"/>
  <c r="AI56"/>
  <c r="AI55"/>
  <c r="AI54"/>
  <c r="AI53"/>
  <c r="AI52"/>
  <c r="AI51"/>
  <c r="AI50"/>
  <c r="AI49"/>
  <c r="AI48"/>
  <c r="AI47"/>
  <c r="AI46"/>
  <c r="AI45"/>
  <c r="AI44"/>
  <c r="AI43"/>
  <c r="AI42"/>
  <c r="AI41"/>
  <c r="AI40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F59"/>
  <c r="AF58"/>
  <c r="AF57"/>
  <c r="AF56"/>
  <c r="AF55"/>
  <c r="AF54"/>
  <c r="AF53"/>
  <c r="AF52"/>
  <c r="AF51"/>
  <c r="AF50"/>
  <c r="AF49"/>
  <c r="AF48"/>
  <c r="AF47"/>
  <c r="AF46"/>
  <c r="AF45"/>
  <c r="AF44"/>
  <c r="AF43"/>
  <c r="AF42"/>
  <c r="AF41"/>
  <c r="AF40"/>
  <c r="AF39"/>
  <c r="AF38"/>
  <c r="AF37"/>
  <c r="AF36"/>
  <c r="AF35"/>
  <c r="AF34"/>
  <c r="AF33"/>
  <c r="AF32"/>
  <c r="AF31"/>
  <c r="AF30"/>
  <c r="AF29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K36" i="41" s="1"/>
  <c r="AC59" i="27"/>
  <c r="AC58"/>
  <c r="AC57"/>
  <c r="AC56"/>
  <c r="AC55"/>
  <c r="AC54"/>
  <c r="AC53"/>
  <c r="AC52"/>
  <c r="AC51"/>
  <c r="AC50"/>
  <c r="AC49"/>
  <c r="AC48"/>
  <c r="AC47"/>
  <c r="AC46"/>
  <c r="AC45"/>
  <c r="AC44"/>
  <c r="AC43"/>
  <c r="AC42"/>
  <c r="AC41"/>
  <c r="AC40"/>
  <c r="AC39"/>
  <c r="AC38"/>
  <c r="AC37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C11"/>
  <c r="AC10"/>
  <c r="K34" i="41" s="1"/>
  <c r="Z59" i="27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K33" i="41" s="1"/>
  <c r="W59" i="27"/>
  <c r="W58"/>
  <c r="W57"/>
  <c r="W56"/>
  <c r="W55"/>
  <c r="W54"/>
  <c r="W53"/>
  <c r="W52"/>
  <c r="W51"/>
  <c r="W50"/>
  <c r="W49"/>
  <c r="W48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K31" i="41" s="1"/>
  <c r="T59" i="27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AO32" s="1"/>
  <c r="T31"/>
  <c r="AP31" s="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K30" i="41" s="1"/>
  <c r="Q59" i="27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K29" i="41" s="1"/>
  <c r="N59" i="27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K28" i="41" s="1"/>
  <c r="K59" i="27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27" i="41" s="1"/>
  <c r="H11" i="27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10"/>
  <c r="K26" i="41" s="1"/>
  <c r="AM11" i="27"/>
  <c r="AN11"/>
  <c r="AM12"/>
  <c r="AN12"/>
  <c r="AM13"/>
  <c r="AN13"/>
  <c r="AM14"/>
  <c r="AN14"/>
  <c r="AM15"/>
  <c r="AN15"/>
  <c r="AM16"/>
  <c r="AN16"/>
  <c r="AM17"/>
  <c r="AN17"/>
  <c r="AM18"/>
  <c r="AN18"/>
  <c r="AM19"/>
  <c r="AN19"/>
  <c r="AM20"/>
  <c r="AN20"/>
  <c r="AM21"/>
  <c r="AN21"/>
  <c r="AM22"/>
  <c r="AN22"/>
  <c r="AM23"/>
  <c r="AN23"/>
  <c r="AM24"/>
  <c r="AN24"/>
  <c r="AM25"/>
  <c r="AN25"/>
  <c r="AM26"/>
  <c r="AN26"/>
  <c r="AM27"/>
  <c r="AN27"/>
  <c r="AM28"/>
  <c r="AN28"/>
  <c r="AM29"/>
  <c r="AN29"/>
  <c r="AM30"/>
  <c r="AN30"/>
  <c r="AM31"/>
  <c r="AN31"/>
  <c r="AM32"/>
  <c r="AN32"/>
  <c r="AP32"/>
  <c r="AM33"/>
  <c r="AN33"/>
  <c r="AM34"/>
  <c r="AN34"/>
  <c r="AM35"/>
  <c r="AN35"/>
  <c r="AM36"/>
  <c r="AN36"/>
  <c r="AP36"/>
  <c r="AM37"/>
  <c r="AN37"/>
  <c r="AM38"/>
  <c r="AN38"/>
  <c r="AM39"/>
  <c r="AN39"/>
  <c r="AM40"/>
  <c r="AN40"/>
  <c r="AM41"/>
  <c r="AN41"/>
  <c r="AO41"/>
  <c r="AM42"/>
  <c r="AN42"/>
  <c r="AM43"/>
  <c r="AN43"/>
  <c r="AM44"/>
  <c r="AN44"/>
  <c r="AO44"/>
  <c r="AP44"/>
  <c r="AM45"/>
  <c r="AN45"/>
  <c r="AO45"/>
  <c r="AP45"/>
  <c r="AM46"/>
  <c r="AN46"/>
  <c r="AP46"/>
  <c r="AM47"/>
  <c r="AN47"/>
  <c r="AO47"/>
  <c r="AP47"/>
  <c r="AM48"/>
  <c r="AN48"/>
  <c r="AO48"/>
  <c r="AP48"/>
  <c r="AM49"/>
  <c r="AN49"/>
  <c r="AO49"/>
  <c r="AP49"/>
  <c r="AM50"/>
  <c r="AN50"/>
  <c r="AM51"/>
  <c r="AN51"/>
  <c r="AM52"/>
  <c r="AN52"/>
  <c r="AO52"/>
  <c r="AP52"/>
  <c r="AM53"/>
  <c r="AN53"/>
  <c r="AO53"/>
  <c r="AP53"/>
  <c r="AM54"/>
  <c r="AN54"/>
  <c r="AO54"/>
  <c r="AP54"/>
  <c r="AM55"/>
  <c r="AN55"/>
  <c r="AO55"/>
  <c r="AP55"/>
  <c r="AM56"/>
  <c r="AN56"/>
  <c r="AO56"/>
  <c r="AP56"/>
  <c r="AM57"/>
  <c r="AN57"/>
  <c r="AO57"/>
  <c r="AP57"/>
  <c r="AM58"/>
  <c r="AN58"/>
  <c r="AM59"/>
  <c r="AN59"/>
  <c r="AN10"/>
  <c r="AM10"/>
  <c r="D16" i="5"/>
  <c r="I40"/>
  <c r="I39"/>
  <c r="I34"/>
  <c r="H42" i="26"/>
  <c r="H41"/>
  <c r="N65" i="7"/>
  <c r="N61"/>
  <c r="J16" i="18"/>
  <c r="K22" i="23"/>
  <c r="P65" i="22"/>
  <c r="N62" i="24"/>
  <c r="N16" i="17"/>
  <c r="AP40" i="27" l="1"/>
  <c r="AO14" i="31"/>
  <c r="AO22"/>
  <c r="AO30"/>
  <c r="AO23" i="27"/>
  <c r="AP13" i="32"/>
  <c r="J12" i="39" s="1"/>
  <c r="AP21" i="32"/>
  <c r="AP29"/>
  <c r="J28" i="39" s="1"/>
  <c r="AP45" i="32"/>
  <c r="AO19"/>
  <c r="AO27"/>
  <c r="AP18"/>
  <c r="J17" i="39" s="1"/>
  <c r="AP26" i="32"/>
  <c r="J25" i="39" s="1"/>
  <c r="AO47" i="32"/>
  <c r="AP41"/>
  <c r="J40" i="39" s="1"/>
  <c r="AO43" i="32"/>
  <c r="AO45"/>
  <c r="AO15"/>
  <c r="AO23"/>
  <c r="AP34"/>
  <c r="AP42"/>
  <c r="AO34"/>
  <c r="AO42"/>
  <c r="AO33"/>
  <c r="AO41"/>
  <c r="AO49"/>
  <c r="AO52"/>
  <c r="AO44"/>
  <c r="AP52"/>
  <c r="AP53"/>
  <c r="AO37"/>
  <c r="AP14"/>
  <c r="J13" i="39" s="1"/>
  <c r="AP22" i="32"/>
  <c r="J21" i="39" s="1"/>
  <c r="AO30" i="32"/>
  <c r="AO38"/>
  <c r="AP46"/>
  <c r="AP54"/>
  <c r="J53" i="39" s="1"/>
  <c r="AO36" i="32"/>
  <c r="AP36"/>
  <c r="J35" i="39" s="1"/>
  <c r="AP33" i="32"/>
  <c r="J32" i="39" s="1"/>
  <c r="AO35" i="32"/>
  <c r="AO17"/>
  <c r="AO25"/>
  <c r="AP28"/>
  <c r="J27" i="39" s="1"/>
  <c r="AO31" i="32"/>
  <c r="AP37"/>
  <c r="AO39"/>
  <c r="AO18"/>
  <c r="AO26"/>
  <c r="AO11"/>
  <c r="AO13"/>
  <c r="AO21"/>
  <c r="AO29"/>
  <c r="AO32"/>
  <c r="AO40"/>
  <c r="AO46"/>
  <c r="AO48"/>
  <c r="AO10"/>
  <c r="AO14"/>
  <c r="AO16"/>
  <c r="AO22"/>
  <c r="AO24"/>
  <c r="AP10"/>
  <c r="J9" i="39" s="1"/>
  <c r="AP17" i="32"/>
  <c r="J16" i="39" s="1"/>
  <c r="AP25" i="32"/>
  <c r="J24" i="39" s="1"/>
  <c r="AO12" i="32"/>
  <c r="AO20"/>
  <c r="AO28"/>
  <c r="AO49" i="31"/>
  <c r="AP11"/>
  <c r="I10" i="39" s="1"/>
  <c r="AO45" i="31"/>
  <c r="AO11"/>
  <c r="AO46"/>
  <c r="AO44"/>
  <c r="AO16"/>
  <c r="AO24"/>
  <c r="AO47"/>
  <c r="AO15"/>
  <c r="AO23"/>
  <c r="AO31"/>
  <c r="AO39"/>
  <c r="AP14"/>
  <c r="I13" i="39" s="1"/>
  <c r="AP30" i="31"/>
  <c r="I29" i="39" s="1"/>
  <c r="AP38" i="31"/>
  <c r="I37" i="39" s="1"/>
  <c r="AP41" i="31"/>
  <c r="I40" i="39" s="1"/>
  <c r="AO12" i="31"/>
  <c r="AO20"/>
  <c r="AO28"/>
  <c r="AO36"/>
  <c r="AP16"/>
  <c r="I15" i="39" s="1"/>
  <c r="AP24" i="31"/>
  <c r="I23" i="39" s="1"/>
  <c r="AP32" i="31"/>
  <c r="I31" i="39" s="1"/>
  <c r="AO40" i="31"/>
  <c r="AO18"/>
  <c r="AO26"/>
  <c r="AO34"/>
  <c r="AO13"/>
  <c r="AO21"/>
  <c r="AO25"/>
  <c r="AO29"/>
  <c r="AO33"/>
  <c r="AO37"/>
  <c r="AO41"/>
  <c r="AO19"/>
  <c r="AO27"/>
  <c r="AO35"/>
  <c r="AP42"/>
  <c r="I41" i="39" s="1"/>
  <c r="AO43" i="31"/>
  <c r="AO17"/>
  <c r="AP35"/>
  <c r="I34" i="39" s="1"/>
  <c r="AP43" i="31"/>
  <c r="I42" i="39" s="1"/>
  <c r="AP51" i="31"/>
  <c r="AP22"/>
  <c r="I21" i="39" s="1"/>
  <c r="AP26" i="31"/>
  <c r="I25" i="39" s="1"/>
  <c r="AP18" i="31"/>
  <c r="I17" i="39" s="1"/>
  <c r="AP10" i="31"/>
  <c r="I9" i="39" s="1"/>
  <c r="AP19" i="31"/>
  <c r="I18" i="39" s="1"/>
  <c r="AP27" i="31"/>
  <c r="I26" i="39" s="1"/>
  <c r="AO32" i="31"/>
  <c r="AP46"/>
  <c r="I45" i="39" s="1"/>
  <c r="AP54" i="31"/>
  <c r="AP34"/>
  <c r="I33" i="39" s="1"/>
  <c r="AO57" i="31"/>
  <c r="AO13" i="30"/>
  <c r="AO21"/>
  <c r="AO29"/>
  <c r="AO37"/>
  <c r="AO45"/>
  <c r="AO52"/>
  <c r="AP47"/>
  <c r="H46" i="39" s="1"/>
  <c r="AP10" i="30"/>
  <c r="H9" i="39" s="1"/>
  <c r="AO18" i="30"/>
  <c r="AO26"/>
  <c r="AP34"/>
  <c r="AO17"/>
  <c r="AO25"/>
  <c r="AO33"/>
  <c r="AO41"/>
  <c r="AP15"/>
  <c r="H14" i="39" s="1"/>
  <c r="AP23" i="30"/>
  <c r="H22" i="39" s="1"/>
  <c r="AP31" i="30"/>
  <c r="AP39"/>
  <c r="AO11"/>
  <c r="AO19"/>
  <c r="AO27"/>
  <c r="AP42"/>
  <c r="H41" i="39" s="1"/>
  <c r="AO35" i="30"/>
  <c r="AO43"/>
  <c r="AP16"/>
  <c r="H15" i="39" s="1"/>
  <c r="AP24" i="30"/>
  <c r="H23" i="39" s="1"/>
  <c r="AP32" i="30"/>
  <c r="H31" i="39" s="1"/>
  <c r="AO49" i="30"/>
  <c r="AP49"/>
  <c r="AO28"/>
  <c r="AO36"/>
  <c r="AO44"/>
  <c r="AP13"/>
  <c r="H12" i="39" s="1"/>
  <c r="AP17" i="30"/>
  <c r="H16" i="39" s="1"/>
  <c r="AP21" i="30"/>
  <c r="H20" i="39" s="1"/>
  <c r="AP25" i="30"/>
  <c r="H24" i="39" s="1"/>
  <c r="AP33" i="30"/>
  <c r="H32" i="39" s="1"/>
  <c r="AO14" i="30"/>
  <c r="AO22"/>
  <c r="AO30"/>
  <c r="AO38"/>
  <c r="AO46"/>
  <c r="AO12"/>
  <c r="AO16"/>
  <c r="AO20"/>
  <c r="AO24"/>
  <c r="AO32"/>
  <c r="AO48"/>
  <c r="AO40"/>
  <c r="Q26" i="41"/>
  <c r="Q37" s="1"/>
  <c r="AO15" i="30"/>
  <c r="AO23"/>
  <c r="AO31"/>
  <c r="AO39"/>
  <c r="AO47"/>
  <c r="AP40"/>
  <c r="H39" i="39" s="1"/>
  <c r="AO13" i="29"/>
  <c r="AO21"/>
  <c r="AO15"/>
  <c r="AO23"/>
  <c r="AO31"/>
  <c r="AO39"/>
  <c r="AO11"/>
  <c r="AO19"/>
  <c r="AO27"/>
  <c r="AO14"/>
  <c r="AO17"/>
  <c r="AO22"/>
  <c r="AO25"/>
  <c r="AO33"/>
  <c r="AO46"/>
  <c r="AO54"/>
  <c r="AO49"/>
  <c r="AP50"/>
  <c r="AO29"/>
  <c r="AO37"/>
  <c r="AO45"/>
  <c r="AO35"/>
  <c r="AO43"/>
  <c r="AO51"/>
  <c r="AP10"/>
  <c r="G9" i="39" s="1"/>
  <c r="AO12" i="29"/>
  <c r="AP18"/>
  <c r="G17" i="39" s="1"/>
  <c r="AO20" i="29"/>
  <c r="AP26"/>
  <c r="AO28"/>
  <c r="AP34"/>
  <c r="G33" i="39" s="1"/>
  <c r="AO36" i="29"/>
  <c r="AO44"/>
  <c r="AO41"/>
  <c r="AO16"/>
  <c r="AP24"/>
  <c r="G23" i="39" s="1"/>
  <c r="AP32" i="29"/>
  <c r="AP40"/>
  <c r="G39" i="39" s="1"/>
  <c r="AP42" i="29"/>
  <c r="AO30"/>
  <c r="AO38"/>
  <c r="AO42"/>
  <c r="AP25"/>
  <c r="G24" i="39" s="1"/>
  <c r="AP41" i="29"/>
  <c r="G40" i="39" s="1"/>
  <c r="AO53" i="29"/>
  <c r="AP14"/>
  <c r="G13" i="39" s="1"/>
  <c r="AP22" i="29"/>
  <c r="G21" i="39" s="1"/>
  <c r="AP30" i="29"/>
  <c r="G29" i="39" s="1"/>
  <c r="AO24" i="29"/>
  <c r="AO32"/>
  <c r="AO40"/>
  <c r="AO48"/>
  <c r="AP52"/>
  <c r="G51" i="39" s="1"/>
  <c r="AP28" i="27"/>
  <c r="F27" i="39" s="1"/>
  <c r="AP39" i="27"/>
  <c r="F38" i="39" s="1"/>
  <c r="AP16" i="27"/>
  <c r="F15" i="39" s="1"/>
  <c r="AP24" i="27"/>
  <c r="F23" i="39" s="1"/>
  <c r="AP38" i="27"/>
  <c r="F37" i="39" s="1"/>
  <c r="AO28" i="27"/>
  <c r="AP23"/>
  <c r="F22" i="39" s="1"/>
  <c r="AO16" i="27"/>
  <c r="AO40"/>
  <c r="AO20"/>
  <c r="AO36"/>
  <c r="AP15"/>
  <c r="F14" i="39" s="1"/>
  <c r="AO31" i="27"/>
  <c r="AP41"/>
  <c r="F40" i="39" s="1"/>
  <c r="N37" i="41"/>
  <c r="W37"/>
  <c r="K37"/>
  <c r="H48" i="39"/>
  <c r="J54"/>
  <c r="F55"/>
  <c r="H56"/>
  <c r="F50"/>
  <c r="I56"/>
  <c r="F31"/>
  <c r="F58"/>
  <c r="G58"/>
  <c r="J51"/>
  <c r="F39"/>
  <c r="H53"/>
  <c r="F47"/>
  <c r="H58"/>
  <c r="J56"/>
  <c r="G55"/>
  <c r="I53"/>
  <c r="F52"/>
  <c r="G47"/>
  <c r="F44"/>
  <c r="G31"/>
  <c r="I58"/>
  <c r="F57"/>
  <c r="H55"/>
  <c r="I50"/>
  <c r="F49"/>
  <c r="J45"/>
  <c r="J58"/>
  <c r="G57"/>
  <c r="F54"/>
  <c r="G49"/>
  <c r="F46"/>
  <c r="G41"/>
  <c r="F30"/>
  <c r="G25"/>
  <c r="H57"/>
  <c r="J55"/>
  <c r="G54"/>
  <c r="F51"/>
  <c r="H49"/>
  <c r="F43"/>
  <c r="F35"/>
  <c r="H33"/>
  <c r="I57"/>
  <c r="F56"/>
  <c r="H54"/>
  <c r="J52"/>
  <c r="I49"/>
  <c r="F48"/>
  <c r="J44"/>
  <c r="H38"/>
  <c r="J36"/>
  <c r="H30"/>
  <c r="J20"/>
  <c r="J57"/>
  <c r="G56"/>
  <c r="F53"/>
  <c r="J49"/>
  <c r="G48"/>
  <c r="F45"/>
  <c r="J41"/>
  <c r="J33"/>
  <c r="AP11" i="32"/>
  <c r="J10" i="39" s="1"/>
  <c r="AP19" i="32"/>
  <c r="J18" i="39" s="1"/>
  <c r="AP27" i="32"/>
  <c r="J26" i="39" s="1"/>
  <c r="AP35" i="32"/>
  <c r="J34" i="39" s="1"/>
  <c r="AP43" i="32"/>
  <c r="J42" i="39" s="1"/>
  <c r="AO50" i="32"/>
  <c r="AP51"/>
  <c r="J50" i="39" s="1"/>
  <c r="AO58" i="32"/>
  <c r="AP59"/>
  <c r="AP12"/>
  <c r="J11" i="39" s="1"/>
  <c r="AP20" i="32"/>
  <c r="J19" i="39" s="1"/>
  <c r="AP44" i="32"/>
  <c r="J43" i="39" s="1"/>
  <c r="AP30" i="32"/>
  <c r="J29" i="39" s="1"/>
  <c r="AP38" i="32"/>
  <c r="J37" i="39" s="1"/>
  <c r="AP15" i="32"/>
  <c r="J14" i="39" s="1"/>
  <c r="AP23" i="32"/>
  <c r="J22" i="39" s="1"/>
  <c r="AP31" i="32"/>
  <c r="J30" i="39" s="1"/>
  <c r="AP39" i="32"/>
  <c r="J38" i="39" s="1"/>
  <c r="AP47" i="32"/>
  <c r="J46" i="39" s="1"/>
  <c r="AP55" i="32"/>
  <c r="AP16"/>
  <c r="J15" i="39" s="1"/>
  <c r="AP24" i="32"/>
  <c r="J23" i="39" s="1"/>
  <c r="AP32" i="32"/>
  <c r="J31" i="39" s="1"/>
  <c r="AP40" i="32"/>
  <c r="J39" i="39" s="1"/>
  <c r="AP48" i="32"/>
  <c r="J47" i="39" s="1"/>
  <c r="AP56" i="32"/>
  <c r="AP49"/>
  <c r="J48" i="39" s="1"/>
  <c r="AP57" i="32"/>
  <c r="AP12" i="31"/>
  <c r="I11" i="39" s="1"/>
  <c r="AP20" i="31"/>
  <c r="I19" i="39" s="1"/>
  <c r="AP28" i="31"/>
  <c r="I27" i="39" s="1"/>
  <c r="AP36" i="31"/>
  <c r="I35" i="39" s="1"/>
  <c r="AP44" i="31"/>
  <c r="I43" i="39" s="1"/>
  <c r="AP52" i="31"/>
  <c r="I51" i="39" s="1"/>
  <c r="AP13" i="31"/>
  <c r="I12" i="39" s="1"/>
  <c r="AP21" i="31"/>
  <c r="I20" i="39" s="1"/>
  <c r="AP29" i="31"/>
  <c r="I28" i="39" s="1"/>
  <c r="AP37" i="31"/>
  <c r="I36" i="39" s="1"/>
  <c r="AP45" i="31"/>
  <c r="I44" i="39" s="1"/>
  <c r="AP53" i="31"/>
  <c r="I52" i="39" s="1"/>
  <c r="AP15" i="31"/>
  <c r="I14" i="39" s="1"/>
  <c r="AP23" i="31"/>
  <c r="I22" i="39" s="1"/>
  <c r="AP31" i="31"/>
  <c r="I30" i="39" s="1"/>
  <c r="AP39" i="31"/>
  <c r="I38" i="39" s="1"/>
  <c r="AP47" i="31"/>
  <c r="I46" i="39" s="1"/>
  <c r="AP55" i="31"/>
  <c r="I54" i="39" s="1"/>
  <c r="AO10" i="31"/>
  <c r="AP40"/>
  <c r="I39" i="39" s="1"/>
  <c r="AP48" i="31"/>
  <c r="I47" i="39" s="1"/>
  <c r="AP56" i="31"/>
  <c r="I55" i="39" s="1"/>
  <c r="AO42" i="31"/>
  <c r="AP17"/>
  <c r="I16" i="39" s="1"/>
  <c r="AP25" i="31"/>
  <c r="I24" i="39" s="1"/>
  <c r="AP33" i="31"/>
  <c r="I32" i="39" s="1"/>
  <c r="AP49" i="31"/>
  <c r="I48" i="39" s="1"/>
  <c r="AP57" i="31"/>
  <c r="AP18" i="30"/>
  <c r="H17" i="39" s="1"/>
  <c r="AP26" i="30"/>
  <c r="H25" i="39" s="1"/>
  <c r="AO10" i="30"/>
  <c r="AP11"/>
  <c r="H10" i="39" s="1"/>
  <c r="AP19" i="30"/>
  <c r="H18" i="39" s="1"/>
  <c r="AP27" i="30"/>
  <c r="H26" i="39" s="1"/>
  <c r="AO34" i="30"/>
  <c r="AP35"/>
  <c r="H34" i="39" s="1"/>
  <c r="AO42" i="30"/>
  <c r="AP43"/>
  <c r="H42" i="39" s="1"/>
  <c r="AO50" i="30"/>
  <c r="AP51"/>
  <c r="H50" i="39" s="1"/>
  <c r="AO58" i="30"/>
  <c r="AP59"/>
  <c r="AP12"/>
  <c r="H11" i="39" s="1"/>
  <c r="AP20" i="30"/>
  <c r="H19" i="39" s="1"/>
  <c r="AP28" i="30"/>
  <c r="H27" i="39" s="1"/>
  <c r="AP36" i="30"/>
  <c r="H35" i="39" s="1"/>
  <c r="AP44" i="30"/>
  <c r="H43" i="39" s="1"/>
  <c r="AP52" i="30"/>
  <c r="H51" i="39" s="1"/>
  <c r="AP29" i="30"/>
  <c r="H28" i="39" s="1"/>
  <c r="AP37" i="30"/>
  <c r="H36" i="39" s="1"/>
  <c r="AP45" i="30"/>
  <c r="H44" i="39" s="1"/>
  <c r="AP53" i="30"/>
  <c r="H52" i="39" s="1"/>
  <c r="AP14" i="30"/>
  <c r="H13" i="39" s="1"/>
  <c r="AP22" i="30"/>
  <c r="H21" i="39" s="1"/>
  <c r="AP38" i="30"/>
  <c r="H37" i="39" s="1"/>
  <c r="AP46" i="30"/>
  <c r="H45" i="39" s="1"/>
  <c r="AP30" i="30"/>
  <c r="H29" i="39" s="1"/>
  <c r="AP55" i="30"/>
  <c r="AP48"/>
  <c r="H47" i="39" s="1"/>
  <c r="AP56" i="30"/>
  <c r="AP41"/>
  <c r="H40" i="39" s="1"/>
  <c r="AP57" i="30"/>
  <c r="AO10" i="29"/>
  <c r="AP11"/>
  <c r="G10" i="39" s="1"/>
  <c r="AO18" i="29"/>
  <c r="AP19"/>
  <c r="G18" i="39" s="1"/>
  <c r="AO26" i="29"/>
  <c r="AP27"/>
  <c r="G26" i="39" s="1"/>
  <c r="AO34" i="29"/>
  <c r="AP35"/>
  <c r="G34" i="39" s="1"/>
  <c r="AP43" i="29"/>
  <c r="G42" i="39" s="1"/>
  <c r="AO50" i="29"/>
  <c r="AP51"/>
  <c r="G50" i="39" s="1"/>
  <c r="AO58" i="29"/>
  <c r="AP59"/>
  <c r="AP12"/>
  <c r="G11" i="39" s="1"/>
  <c r="AP20" i="29"/>
  <c r="G19" i="39" s="1"/>
  <c r="AP28" i="29"/>
  <c r="G27" i="39" s="1"/>
  <c r="AP36" i="29"/>
  <c r="G35" i="39" s="1"/>
  <c r="AP44" i="29"/>
  <c r="G43" i="39" s="1"/>
  <c r="AP13" i="29"/>
  <c r="G12" i="39" s="1"/>
  <c r="AP21" i="29"/>
  <c r="G20" i="39" s="1"/>
  <c r="AP29" i="29"/>
  <c r="G28" i="39" s="1"/>
  <c r="AP37" i="29"/>
  <c r="G36" i="39" s="1"/>
  <c r="AP45" i="29"/>
  <c r="G44" i="39" s="1"/>
  <c r="AP53" i="29"/>
  <c r="G52" i="39" s="1"/>
  <c r="AP38" i="29"/>
  <c r="G37" i="39" s="1"/>
  <c r="AP46" i="29"/>
  <c r="G45" i="39" s="1"/>
  <c r="AP54" i="29"/>
  <c r="G53" i="39" s="1"/>
  <c r="AP15" i="29"/>
  <c r="G14" i="39" s="1"/>
  <c r="AP23" i="29"/>
  <c r="G22" i="39" s="1"/>
  <c r="AP31" i="29"/>
  <c r="G30" i="39" s="1"/>
  <c r="AP39" i="29"/>
  <c r="G38" i="39" s="1"/>
  <c r="AP47" i="29"/>
  <c r="G46" i="39" s="1"/>
  <c r="AP16" i="29"/>
  <c r="G15" i="39" s="1"/>
  <c r="AP56" i="29"/>
  <c r="AP17"/>
  <c r="G16" i="39" s="1"/>
  <c r="AP33" i="29"/>
  <c r="G32" i="39" s="1"/>
  <c r="AO13" i="27"/>
  <c r="AP42"/>
  <c r="F41" i="39" s="1"/>
  <c r="AO59" i="27"/>
  <c r="AP18"/>
  <c r="F17" i="39" s="1"/>
  <c r="AP26" i="27"/>
  <c r="F25" i="39" s="1"/>
  <c r="AP34" i="27"/>
  <c r="F33" i="39" s="1"/>
  <c r="AO42" i="27"/>
  <c r="AP50"/>
  <c r="AO58"/>
  <c r="AP30"/>
  <c r="F29" i="39" s="1"/>
  <c r="AP13" i="27"/>
  <c r="F12" i="39" s="1"/>
  <c r="AO15" i="27"/>
  <c r="AO39"/>
  <c r="AP21"/>
  <c r="F20" i="39" s="1"/>
  <c r="AO37" i="27"/>
  <c r="AO25"/>
  <c r="AP33"/>
  <c r="F32" i="39" s="1"/>
  <c r="AO33" i="27"/>
  <c r="AP12"/>
  <c r="F11" i="39" s="1"/>
  <c r="AP58" i="27"/>
  <c r="AP20"/>
  <c r="F19" i="39" s="1"/>
  <c r="AO18" i="27"/>
  <c r="AO50"/>
  <c r="AO34"/>
  <c r="AO26"/>
  <c r="AO21"/>
  <c r="AP29"/>
  <c r="F28" i="39" s="1"/>
  <c r="AP37" i="27"/>
  <c r="F36" i="39" s="1"/>
  <c r="AP25" i="27"/>
  <c r="F24" i="39" s="1"/>
  <c r="AP17" i="27"/>
  <c r="F16" i="39" s="1"/>
  <c r="AP10" i="27"/>
  <c r="F9" i="39" s="1"/>
  <c r="AO30" i="27"/>
  <c r="AO38"/>
  <c r="AO46"/>
  <c r="AO12"/>
  <c r="AO29"/>
  <c r="AP59"/>
  <c r="AP51"/>
  <c r="AP43"/>
  <c r="F42" i="39" s="1"/>
  <c r="AP35" i="27"/>
  <c r="F34" i="39" s="1"/>
  <c r="AP27" i="27"/>
  <c r="F26" i="39" s="1"/>
  <c r="AP19" i="27"/>
  <c r="F18" i="39" s="1"/>
  <c r="AP11" i="27"/>
  <c r="F10" i="39" s="1"/>
  <c r="AP22" i="27"/>
  <c r="F21" i="39" s="1"/>
  <c r="AP14" i="27"/>
  <c r="F13" i="39" s="1"/>
  <c r="AO14" i="27"/>
  <c r="AO22"/>
  <c r="AO24"/>
  <c r="AO35"/>
  <c r="AO27"/>
  <c r="AO19"/>
  <c r="AO17"/>
  <c r="AO11"/>
  <c r="AO43"/>
  <c r="AO51"/>
  <c r="H62" i="2"/>
  <c r="H58"/>
  <c r="S41" i="41"/>
  <c r="S43"/>
  <c r="S48"/>
  <c r="S49"/>
  <c r="K50" i="39" l="1"/>
  <c r="K47"/>
  <c r="K40"/>
  <c r="K46"/>
  <c r="K48"/>
  <c r="K43"/>
  <c r="K52"/>
  <c r="K41"/>
  <c r="K57"/>
  <c r="K45"/>
  <c r="K58"/>
  <c r="K54"/>
  <c r="K42"/>
  <c r="K55"/>
  <c r="K44"/>
  <c r="K56"/>
  <c r="K49"/>
  <c r="K51"/>
  <c r="K39"/>
  <c r="K53"/>
  <c r="K14"/>
  <c r="K21"/>
  <c r="K34"/>
  <c r="K24"/>
  <c r="K11"/>
  <c r="K32"/>
  <c r="K16"/>
  <c r="K27"/>
  <c r="K38"/>
  <c r="K17"/>
  <c r="K28"/>
  <c r="K15"/>
  <c r="K18"/>
  <c r="K31"/>
  <c r="K22"/>
  <c r="K29"/>
  <c r="K35"/>
  <c r="K12"/>
  <c r="K33"/>
  <c r="K36"/>
  <c r="K23"/>
  <c r="K13"/>
  <c r="K26"/>
  <c r="K25"/>
  <c r="K19"/>
  <c r="K30"/>
  <c r="K9"/>
  <c r="K20"/>
  <c r="K37"/>
  <c r="K10"/>
  <c r="I56" i="35"/>
  <c r="N4" i="2"/>
  <c r="N5" s="1"/>
  <c r="O5" s="1"/>
  <c r="C55"/>
  <c r="AP59" i="28"/>
  <c r="AP58"/>
  <c r="AP57"/>
  <c r="AP56"/>
  <c r="AP55"/>
  <c r="AP54"/>
  <c r="AP53"/>
  <c r="AP52"/>
  <c r="AP51"/>
  <c r="AP50"/>
  <c r="AP49"/>
  <c r="AP48"/>
  <c r="AP47"/>
  <c r="AP46"/>
  <c r="AP45"/>
  <c r="AP44"/>
  <c r="AP43"/>
  <c r="AP42"/>
  <c r="AP41"/>
  <c r="AP40"/>
  <c r="AP39"/>
  <c r="AP38"/>
  <c r="AP37"/>
  <c r="AP36"/>
  <c r="AP35"/>
  <c r="AP34"/>
  <c r="AP33"/>
  <c r="AP32"/>
  <c r="AP31"/>
  <c r="AP30"/>
  <c r="AP29"/>
  <c r="AP28"/>
  <c r="AP27"/>
  <c r="AP26"/>
  <c r="AP25"/>
  <c r="AP24"/>
  <c r="AP23"/>
  <c r="AP22"/>
  <c r="AP21"/>
  <c r="AP20"/>
  <c r="AP19"/>
  <c r="AP18"/>
  <c r="AP17"/>
  <c r="AP16"/>
  <c r="AP15"/>
  <c r="AP14"/>
  <c r="AP13"/>
  <c r="AP12"/>
  <c r="AP11"/>
  <c r="AP10"/>
  <c r="G5" i="31"/>
  <c r="G4"/>
  <c r="N14" i="17"/>
  <c r="J14" i="18"/>
  <c r="P63" i="22"/>
  <c r="K20" i="23"/>
  <c r="N21" i="17"/>
  <c r="N20"/>
  <c r="N19"/>
  <c r="P70" i="22"/>
  <c r="P69"/>
  <c r="P68"/>
  <c r="J21" i="18"/>
  <c r="J20"/>
  <c r="J19"/>
  <c r="K28" i="23"/>
  <c r="K27"/>
  <c r="K26"/>
  <c r="J8"/>
  <c r="J7"/>
  <c r="H11" i="35"/>
  <c r="H10"/>
  <c r="E7" i="41"/>
  <c r="E6"/>
  <c r="O4" i="2" l="1"/>
  <c r="N6"/>
  <c r="C54"/>
  <c r="P8" i="24"/>
  <c r="O8"/>
  <c r="N8"/>
  <c r="M8"/>
  <c r="L8"/>
  <c r="K8"/>
  <c r="J8"/>
  <c r="I8"/>
  <c r="H8"/>
  <c r="G8"/>
  <c r="F8"/>
  <c r="D36" i="41"/>
  <c r="AF27"/>
  <c r="AE27" s="1"/>
  <c r="AF28"/>
  <c r="AE28" s="1"/>
  <c r="AF29"/>
  <c r="AE29" s="1"/>
  <c r="AF30"/>
  <c r="AF31"/>
  <c r="AE31" s="1"/>
  <c r="AF33"/>
  <c r="AE33" s="1"/>
  <c r="AF34"/>
  <c r="AE34" s="1"/>
  <c r="AF36"/>
  <c r="AE36" s="1"/>
  <c r="AF26"/>
  <c r="S47"/>
  <c r="G19"/>
  <c r="G18"/>
  <c r="G17"/>
  <c r="G16"/>
  <c r="G15"/>
  <c r="C11"/>
  <c r="C10"/>
  <c r="E4"/>
  <c r="E3"/>
  <c r="AO59" i="28"/>
  <c r="AN59"/>
  <c r="AM59"/>
  <c r="AO58"/>
  <c r="AN58"/>
  <c r="AM58"/>
  <c r="AO57"/>
  <c r="AN57"/>
  <c r="AM57"/>
  <c r="AO56"/>
  <c r="AN56"/>
  <c r="AM56"/>
  <c r="AO55"/>
  <c r="AN55"/>
  <c r="AM55"/>
  <c r="AO54"/>
  <c r="AN54"/>
  <c r="AM54"/>
  <c r="AO53"/>
  <c r="AN53"/>
  <c r="AM53"/>
  <c r="AO52"/>
  <c r="AN52"/>
  <c r="AM52"/>
  <c r="AO51"/>
  <c r="AN51"/>
  <c r="AM51"/>
  <c r="AO50"/>
  <c r="AN50"/>
  <c r="AM50"/>
  <c r="AO49"/>
  <c r="AN49"/>
  <c r="AM49"/>
  <c r="AO48"/>
  <c r="AN48"/>
  <c r="AM48"/>
  <c r="AO47"/>
  <c r="AN47"/>
  <c r="AM47"/>
  <c r="AO46"/>
  <c r="AN46"/>
  <c r="AM46"/>
  <c r="AO45"/>
  <c r="AN45"/>
  <c r="AM45"/>
  <c r="AO44"/>
  <c r="AN44"/>
  <c r="AM44"/>
  <c r="AO43"/>
  <c r="AN43"/>
  <c r="AM43"/>
  <c r="AO42"/>
  <c r="AN42"/>
  <c r="AM42"/>
  <c r="AO41"/>
  <c r="AN41"/>
  <c r="AM41"/>
  <c r="AO40"/>
  <c r="AN40"/>
  <c r="AM40"/>
  <c r="AO39"/>
  <c r="AN39"/>
  <c r="AM39"/>
  <c r="AO38"/>
  <c r="AN38"/>
  <c r="AM38"/>
  <c r="AO37"/>
  <c r="AN37"/>
  <c r="AM37"/>
  <c r="AO36"/>
  <c r="AN36"/>
  <c r="AM36"/>
  <c r="AO35"/>
  <c r="AN35"/>
  <c r="AM35"/>
  <c r="AO34"/>
  <c r="AN34"/>
  <c r="AM34"/>
  <c r="AO33"/>
  <c r="AN33"/>
  <c r="AM33"/>
  <c r="AO32"/>
  <c r="AN32"/>
  <c r="AM32"/>
  <c r="AO31"/>
  <c r="AN31"/>
  <c r="AM31"/>
  <c r="AO30"/>
  <c r="AN30"/>
  <c r="AM30"/>
  <c r="AO29"/>
  <c r="AN29"/>
  <c r="AM29"/>
  <c r="AO28"/>
  <c r="AN28"/>
  <c r="AM28"/>
  <c r="AO27"/>
  <c r="AN27"/>
  <c r="AM27"/>
  <c r="AO26"/>
  <c r="AN26"/>
  <c r="AM26"/>
  <c r="AO25"/>
  <c r="AN25"/>
  <c r="AM25"/>
  <c r="AO24"/>
  <c r="AN24"/>
  <c r="AM24"/>
  <c r="AO23"/>
  <c r="AN23"/>
  <c r="AM23"/>
  <c r="AO22"/>
  <c r="AN22"/>
  <c r="AM22"/>
  <c r="AO21"/>
  <c r="AN21"/>
  <c r="AM21"/>
  <c r="AO20"/>
  <c r="AN20"/>
  <c r="AM20"/>
  <c r="AO19"/>
  <c r="AN19"/>
  <c r="AM19"/>
  <c r="AO18"/>
  <c r="AN18"/>
  <c r="AM18"/>
  <c r="AO17"/>
  <c r="AN17"/>
  <c r="AM17"/>
  <c r="AO16"/>
  <c r="AN16"/>
  <c r="AM16"/>
  <c r="AO15"/>
  <c r="AN15"/>
  <c r="AM15"/>
  <c r="AO14"/>
  <c r="AN14"/>
  <c r="AM14"/>
  <c r="AO13"/>
  <c r="AN13"/>
  <c r="AM13"/>
  <c r="AN12"/>
  <c r="AM12"/>
  <c r="AO11"/>
  <c r="AN11"/>
  <c r="AM11"/>
  <c r="AO10"/>
  <c r="AN10"/>
  <c r="AM10"/>
  <c r="O6" i="2" l="1"/>
  <c r="N7"/>
  <c r="AE26" i="41"/>
  <c r="AE30"/>
  <c r="T36"/>
  <c r="T37" s="1"/>
  <c r="X37" s="1"/>
  <c r="AL10" i="28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C5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N8" i="2" l="1"/>
  <c r="O7"/>
  <c r="AO12" i="28"/>
  <c r="AO10" i="27"/>
  <c r="D10" i="39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9"/>
  <c r="E58"/>
  <c r="N58" s="1"/>
  <c r="C58"/>
  <c r="E57"/>
  <c r="N57" s="1"/>
  <c r="C57"/>
  <c r="E56"/>
  <c r="N56" s="1"/>
  <c r="C56"/>
  <c r="E55"/>
  <c r="N55" s="1"/>
  <c r="C55"/>
  <c r="E54"/>
  <c r="N54" s="1"/>
  <c r="C54"/>
  <c r="E53"/>
  <c r="N53" s="1"/>
  <c r="C53"/>
  <c r="E52"/>
  <c r="N52" s="1"/>
  <c r="C52"/>
  <c r="E51"/>
  <c r="N51" s="1"/>
  <c r="C51"/>
  <c r="E50"/>
  <c r="N50" s="1"/>
  <c r="C50"/>
  <c r="E49"/>
  <c r="N49" s="1"/>
  <c r="C49"/>
  <c r="E48"/>
  <c r="N48" s="1"/>
  <c r="C48"/>
  <c r="E47"/>
  <c r="N47" s="1"/>
  <c r="C47"/>
  <c r="E46"/>
  <c r="N46" s="1"/>
  <c r="C46"/>
  <c r="E45"/>
  <c r="N45" s="1"/>
  <c r="C45"/>
  <c r="E44"/>
  <c r="N44" s="1"/>
  <c r="C44"/>
  <c r="E43"/>
  <c r="N43" s="1"/>
  <c r="C43"/>
  <c r="E42"/>
  <c r="N42" s="1"/>
  <c r="C42"/>
  <c r="E41"/>
  <c r="N41" s="1"/>
  <c r="C41"/>
  <c r="E40"/>
  <c r="N40" s="1"/>
  <c r="C40"/>
  <c r="E39"/>
  <c r="N39" s="1"/>
  <c r="C39"/>
  <c r="E38"/>
  <c r="N38" s="1"/>
  <c r="C38"/>
  <c r="E37"/>
  <c r="N37" s="1"/>
  <c r="C37"/>
  <c r="E36"/>
  <c r="N36" s="1"/>
  <c r="C36"/>
  <c r="E35"/>
  <c r="N35" s="1"/>
  <c r="C35"/>
  <c r="E34"/>
  <c r="N34" s="1"/>
  <c r="C34"/>
  <c r="E33"/>
  <c r="N33" s="1"/>
  <c r="C33"/>
  <c r="E32"/>
  <c r="N32" s="1"/>
  <c r="C32"/>
  <c r="E31"/>
  <c r="N31" s="1"/>
  <c r="C31"/>
  <c r="E30"/>
  <c r="N30" s="1"/>
  <c r="C30"/>
  <c r="E29"/>
  <c r="N29" s="1"/>
  <c r="C29"/>
  <c r="E28"/>
  <c r="N28" s="1"/>
  <c r="C28"/>
  <c r="E27"/>
  <c r="N27" s="1"/>
  <c r="C27"/>
  <c r="E26"/>
  <c r="N26" s="1"/>
  <c r="C26"/>
  <c r="E25"/>
  <c r="N25" s="1"/>
  <c r="C25"/>
  <c r="E24"/>
  <c r="N24" s="1"/>
  <c r="C24"/>
  <c r="E23"/>
  <c r="N23" s="1"/>
  <c r="C23"/>
  <c r="E22"/>
  <c r="N22" s="1"/>
  <c r="C22"/>
  <c r="E21"/>
  <c r="N21" s="1"/>
  <c r="C21"/>
  <c r="E20"/>
  <c r="N20" s="1"/>
  <c r="C20"/>
  <c r="E19"/>
  <c r="N19" s="1"/>
  <c r="C19"/>
  <c r="E18"/>
  <c r="N18" s="1"/>
  <c r="C18"/>
  <c r="E17"/>
  <c r="N17" s="1"/>
  <c r="C17"/>
  <c r="E16"/>
  <c r="N16" s="1"/>
  <c r="C16"/>
  <c r="E15"/>
  <c r="N15" s="1"/>
  <c r="C15"/>
  <c r="E14"/>
  <c r="N14" s="1"/>
  <c r="C14"/>
  <c r="E13"/>
  <c r="N13" s="1"/>
  <c r="C13"/>
  <c r="E12"/>
  <c r="N12" s="1"/>
  <c r="C12"/>
  <c r="E11"/>
  <c r="N11" s="1"/>
  <c r="C11"/>
  <c r="E10"/>
  <c r="N10" s="1"/>
  <c r="C10"/>
  <c r="E9"/>
  <c r="N9" s="1"/>
  <c r="C9"/>
  <c r="E5"/>
  <c r="E4"/>
  <c r="C17" i="23"/>
  <c r="AD10" i="24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9"/>
  <c r="N9" i="2" l="1"/>
  <c r="O8"/>
  <c r="U53" i="39"/>
  <c r="L53" s="1"/>
  <c r="U54"/>
  <c r="L54" s="1"/>
  <c r="U40"/>
  <c r="L40" s="1"/>
  <c r="U57"/>
  <c r="L57" s="1"/>
  <c r="U58"/>
  <c r="L58" s="1"/>
  <c r="U39"/>
  <c r="L39" s="1"/>
  <c r="U50"/>
  <c r="L50" s="1"/>
  <c r="U43"/>
  <c r="L43" s="1"/>
  <c r="U49"/>
  <c r="L49" s="1"/>
  <c r="U47"/>
  <c r="L47" s="1"/>
  <c r="U52"/>
  <c r="L52" s="1"/>
  <c r="U48"/>
  <c r="L48" s="1"/>
  <c r="U41"/>
  <c r="L41" s="1"/>
  <c r="U51"/>
  <c r="L51" s="1"/>
  <c r="U55"/>
  <c r="L55" s="1"/>
  <c r="U56"/>
  <c r="L56" s="1"/>
  <c r="U42"/>
  <c r="L42" s="1"/>
  <c r="U44"/>
  <c r="L44" s="1"/>
  <c r="U45"/>
  <c r="L45" s="1"/>
  <c r="U46"/>
  <c r="L46" s="1"/>
  <c r="N10" i="2" l="1"/>
  <c r="O9"/>
  <c r="U21" i="39" l="1"/>
  <c r="L21" s="1"/>
  <c r="U27"/>
  <c r="L27" s="1"/>
  <c r="U38"/>
  <c r="L38" s="1"/>
  <c r="U17"/>
  <c r="L17" s="1"/>
  <c r="U16"/>
  <c r="L16" s="1"/>
  <c r="U9"/>
  <c r="U19"/>
  <c r="L19" s="1"/>
  <c r="U22"/>
  <c r="L22" s="1"/>
  <c r="U35"/>
  <c r="L35" s="1"/>
  <c r="U33"/>
  <c r="L33" s="1"/>
  <c r="U11"/>
  <c r="L11" s="1"/>
  <c r="U36"/>
  <c r="L36" s="1"/>
  <c r="U10"/>
  <c r="L10" s="1"/>
  <c r="U37"/>
  <c r="L37" s="1"/>
  <c r="U28"/>
  <c r="L28" s="1"/>
  <c r="U31"/>
  <c r="L31" s="1"/>
  <c r="U29"/>
  <c r="L29" s="1"/>
  <c r="U34"/>
  <c r="L34" s="1"/>
  <c r="U13"/>
  <c r="L13" s="1"/>
  <c r="U20"/>
  <c r="L20" s="1"/>
  <c r="U23"/>
  <c r="L23" s="1"/>
  <c r="U32"/>
  <c r="L32" s="1"/>
  <c r="U25"/>
  <c r="L25" s="1"/>
  <c r="U30"/>
  <c r="L30" s="1"/>
  <c r="U26"/>
  <c r="L26" s="1"/>
  <c r="U14"/>
  <c r="L14" s="1"/>
  <c r="U12"/>
  <c r="L12" s="1"/>
  <c r="U15"/>
  <c r="L15" s="1"/>
  <c r="U24"/>
  <c r="L24" s="1"/>
  <c r="U18"/>
  <c r="L18" s="1"/>
  <c r="N11" i="2"/>
  <c r="O10"/>
  <c r="E31" i="26"/>
  <c r="E30"/>
  <c r="E29"/>
  <c r="D43" i="35"/>
  <c r="I55"/>
  <c r="C48"/>
  <c r="G23"/>
  <c r="G22"/>
  <c r="G21"/>
  <c r="G20"/>
  <c r="G19"/>
  <c r="C15"/>
  <c r="C14"/>
  <c r="H8"/>
  <c r="H7"/>
  <c r="P7" i="7"/>
  <c r="O7"/>
  <c r="N7"/>
  <c r="M7"/>
  <c r="L7"/>
  <c r="K7"/>
  <c r="J7"/>
  <c r="I7"/>
  <c r="H7"/>
  <c r="G7"/>
  <c r="F7"/>
  <c r="AD67" i="32"/>
  <c r="AD66"/>
  <c r="AD61"/>
  <c r="D59"/>
  <c r="AR59" s="1"/>
  <c r="C59"/>
  <c r="D58"/>
  <c r="AR58" s="1"/>
  <c r="C58"/>
  <c r="D57"/>
  <c r="AR57" s="1"/>
  <c r="C57"/>
  <c r="D56"/>
  <c r="AR56" s="1"/>
  <c r="C56"/>
  <c r="D55"/>
  <c r="AR55" s="1"/>
  <c r="C55"/>
  <c r="D54"/>
  <c r="AR54" s="1"/>
  <c r="C54"/>
  <c r="D53"/>
  <c r="AR53" s="1"/>
  <c r="C53"/>
  <c r="D52"/>
  <c r="AR52" s="1"/>
  <c r="C52"/>
  <c r="D51"/>
  <c r="AR51" s="1"/>
  <c r="C51"/>
  <c r="D50"/>
  <c r="AR50" s="1"/>
  <c r="C50"/>
  <c r="D49"/>
  <c r="AR49" s="1"/>
  <c r="C49"/>
  <c r="D48"/>
  <c r="AR48" s="1"/>
  <c r="C48"/>
  <c r="D47"/>
  <c r="AR47" s="1"/>
  <c r="C47"/>
  <c r="D46"/>
  <c r="AR46" s="1"/>
  <c r="C46"/>
  <c r="D45"/>
  <c r="AR45" s="1"/>
  <c r="C45"/>
  <c r="D44"/>
  <c r="AR44" s="1"/>
  <c r="C44"/>
  <c r="D43"/>
  <c r="AR43" s="1"/>
  <c r="C43"/>
  <c r="D42"/>
  <c r="AR42" s="1"/>
  <c r="C42"/>
  <c r="D41"/>
  <c r="AR41" s="1"/>
  <c r="C41"/>
  <c r="D40"/>
  <c r="AR40" s="1"/>
  <c r="C40"/>
  <c r="D39"/>
  <c r="AR39" s="1"/>
  <c r="C39"/>
  <c r="D38"/>
  <c r="AR38" s="1"/>
  <c r="C38"/>
  <c r="D37"/>
  <c r="AR37" s="1"/>
  <c r="C37"/>
  <c r="D36"/>
  <c r="AR36" s="1"/>
  <c r="C36"/>
  <c r="D35"/>
  <c r="AR35" s="1"/>
  <c r="C35"/>
  <c r="D34"/>
  <c r="AR34" s="1"/>
  <c r="C34"/>
  <c r="D33"/>
  <c r="AR33" s="1"/>
  <c r="C33"/>
  <c r="D32"/>
  <c r="AR32" s="1"/>
  <c r="C32"/>
  <c r="D31"/>
  <c r="AR31" s="1"/>
  <c r="C31"/>
  <c r="D30"/>
  <c r="AR30" s="1"/>
  <c r="C30"/>
  <c r="D29"/>
  <c r="AR29" s="1"/>
  <c r="C29"/>
  <c r="D28"/>
  <c r="AR28" s="1"/>
  <c r="C28"/>
  <c r="D27"/>
  <c r="AR27" s="1"/>
  <c r="C27"/>
  <c r="D26"/>
  <c r="AR26" s="1"/>
  <c r="C26"/>
  <c r="D25"/>
  <c r="AR25" s="1"/>
  <c r="C25"/>
  <c r="D24"/>
  <c r="AR24" s="1"/>
  <c r="C24"/>
  <c r="D23"/>
  <c r="AR23" s="1"/>
  <c r="C23"/>
  <c r="D22"/>
  <c r="AR22" s="1"/>
  <c r="C22"/>
  <c r="D21"/>
  <c r="AR21" s="1"/>
  <c r="C21"/>
  <c r="D20"/>
  <c r="AR20" s="1"/>
  <c r="C20"/>
  <c r="D19"/>
  <c r="AR19" s="1"/>
  <c r="C19"/>
  <c r="D18"/>
  <c r="AR18" s="1"/>
  <c r="C18"/>
  <c r="D17"/>
  <c r="AR17" s="1"/>
  <c r="C17"/>
  <c r="D16"/>
  <c r="AR16" s="1"/>
  <c r="C16"/>
  <c r="D15"/>
  <c r="AR15" s="1"/>
  <c r="C15"/>
  <c r="D14"/>
  <c r="AR14" s="1"/>
  <c r="C14"/>
  <c r="D13"/>
  <c r="AR13" s="1"/>
  <c r="C13"/>
  <c r="AW12"/>
  <c r="D12"/>
  <c r="AR12" s="1"/>
  <c r="C12"/>
  <c r="D11"/>
  <c r="AR11" s="1"/>
  <c r="C11"/>
  <c r="D10"/>
  <c r="AR10" s="1"/>
  <c r="C10"/>
  <c r="AJ8"/>
  <c r="AG8"/>
  <c r="AD8"/>
  <c r="AA8"/>
  <c r="X8"/>
  <c r="U8"/>
  <c r="R8"/>
  <c r="O8"/>
  <c r="L8"/>
  <c r="I8"/>
  <c r="F8"/>
  <c r="G5"/>
  <c r="G4"/>
  <c r="AD67" i="31"/>
  <c r="AD66"/>
  <c r="AD61"/>
  <c r="D59"/>
  <c r="AR59" s="1"/>
  <c r="C59"/>
  <c r="D58"/>
  <c r="AR58" s="1"/>
  <c r="C58"/>
  <c r="D57"/>
  <c r="AR57" s="1"/>
  <c r="C57"/>
  <c r="D56"/>
  <c r="AR56" s="1"/>
  <c r="C56"/>
  <c r="D55"/>
  <c r="AR55" s="1"/>
  <c r="C55"/>
  <c r="D54"/>
  <c r="AR54" s="1"/>
  <c r="C54"/>
  <c r="D53"/>
  <c r="AR53" s="1"/>
  <c r="C53"/>
  <c r="D52"/>
  <c r="AR52" s="1"/>
  <c r="C52"/>
  <c r="D51"/>
  <c r="AR51" s="1"/>
  <c r="C51"/>
  <c r="D50"/>
  <c r="AR50" s="1"/>
  <c r="C50"/>
  <c r="D49"/>
  <c r="AR49" s="1"/>
  <c r="C49"/>
  <c r="D48"/>
  <c r="AR48" s="1"/>
  <c r="C48"/>
  <c r="D47"/>
  <c r="AR47" s="1"/>
  <c r="C47"/>
  <c r="D46"/>
  <c r="AR46" s="1"/>
  <c r="C46"/>
  <c r="D45"/>
  <c r="AR45" s="1"/>
  <c r="C45"/>
  <c r="D44"/>
  <c r="AR44" s="1"/>
  <c r="C44"/>
  <c r="D43"/>
  <c r="AR43" s="1"/>
  <c r="C43"/>
  <c r="D42"/>
  <c r="AR42" s="1"/>
  <c r="C42"/>
  <c r="D41"/>
  <c r="AR41" s="1"/>
  <c r="C41"/>
  <c r="D40"/>
  <c r="AR40" s="1"/>
  <c r="C40"/>
  <c r="D39"/>
  <c r="AR39" s="1"/>
  <c r="C39"/>
  <c r="D38"/>
  <c r="AR38" s="1"/>
  <c r="C38"/>
  <c r="D37"/>
  <c r="AR37" s="1"/>
  <c r="C37"/>
  <c r="D36"/>
  <c r="AR36" s="1"/>
  <c r="C36"/>
  <c r="D35"/>
  <c r="AR35" s="1"/>
  <c r="C35"/>
  <c r="D34"/>
  <c r="AR34" s="1"/>
  <c r="C34"/>
  <c r="D33"/>
  <c r="AR33" s="1"/>
  <c r="C33"/>
  <c r="D32"/>
  <c r="AR32" s="1"/>
  <c r="C32"/>
  <c r="D31"/>
  <c r="AR31" s="1"/>
  <c r="C31"/>
  <c r="D30"/>
  <c r="AR30" s="1"/>
  <c r="C30"/>
  <c r="D29"/>
  <c r="AR29" s="1"/>
  <c r="C29"/>
  <c r="D28"/>
  <c r="AR28" s="1"/>
  <c r="C28"/>
  <c r="D27"/>
  <c r="AR27" s="1"/>
  <c r="C27"/>
  <c r="D26"/>
  <c r="AR26" s="1"/>
  <c r="C26"/>
  <c r="D25"/>
  <c r="AR25" s="1"/>
  <c r="C25"/>
  <c r="D24"/>
  <c r="AR24" s="1"/>
  <c r="C24"/>
  <c r="D23"/>
  <c r="AR23" s="1"/>
  <c r="C23"/>
  <c r="D22"/>
  <c r="AR22" s="1"/>
  <c r="C22"/>
  <c r="D21"/>
  <c r="AR21" s="1"/>
  <c r="C21"/>
  <c r="D20"/>
  <c r="AR20" s="1"/>
  <c r="C20"/>
  <c r="D19"/>
  <c r="AR19" s="1"/>
  <c r="C19"/>
  <c r="D18"/>
  <c r="AR18" s="1"/>
  <c r="C18"/>
  <c r="D17"/>
  <c r="AR17" s="1"/>
  <c r="C17"/>
  <c r="D16"/>
  <c r="AR16" s="1"/>
  <c r="C16"/>
  <c r="D15"/>
  <c r="AR15" s="1"/>
  <c r="C15"/>
  <c r="D14"/>
  <c r="AR14" s="1"/>
  <c r="C14"/>
  <c r="D13"/>
  <c r="AR13" s="1"/>
  <c r="C13"/>
  <c r="AW12"/>
  <c r="D12"/>
  <c r="AR12" s="1"/>
  <c r="C12"/>
  <c r="D11"/>
  <c r="AR11" s="1"/>
  <c r="C11"/>
  <c r="D10"/>
  <c r="AR10" s="1"/>
  <c r="C10"/>
  <c r="AJ8"/>
  <c r="AG8"/>
  <c r="AD8"/>
  <c r="AA8"/>
  <c r="X8"/>
  <c r="U8"/>
  <c r="R8"/>
  <c r="O8"/>
  <c r="L8"/>
  <c r="I8"/>
  <c r="F8"/>
  <c r="AD67" i="30"/>
  <c r="AD66"/>
  <c r="AD61"/>
  <c r="D59"/>
  <c r="AR59" s="1"/>
  <c r="C59"/>
  <c r="D58"/>
  <c r="AR58" s="1"/>
  <c r="C58"/>
  <c r="D57"/>
  <c r="AR57" s="1"/>
  <c r="C57"/>
  <c r="D56"/>
  <c r="AR56" s="1"/>
  <c r="C56"/>
  <c r="D55"/>
  <c r="AR55" s="1"/>
  <c r="C55"/>
  <c r="D54"/>
  <c r="AR54" s="1"/>
  <c r="C54"/>
  <c r="D53"/>
  <c r="AR53" s="1"/>
  <c r="C53"/>
  <c r="D52"/>
  <c r="AR52" s="1"/>
  <c r="C52"/>
  <c r="D51"/>
  <c r="AR51" s="1"/>
  <c r="C51"/>
  <c r="D50"/>
  <c r="AR50" s="1"/>
  <c r="C50"/>
  <c r="D49"/>
  <c r="AR49" s="1"/>
  <c r="C49"/>
  <c r="D48"/>
  <c r="AR48" s="1"/>
  <c r="C48"/>
  <c r="D47"/>
  <c r="AR47" s="1"/>
  <c r="C47"/>
  <c r="D46"/>
  <c r="AR46" s="1"/>
  <c r="C46"/>
  <c r="D45"/>
  <c r="AR45" s="1"/>
  <c r="C45"/>
  <c r="D44"/>
  <c r="AR44" s="1"/>
  <c r="C44"/>
  <c r="D43"/>
  <c r="AR43" s="1"/>
  <c r="C43"/>
  <c r="D42"/>
  <c r="AR42" s="1"/>
  <c r="C42"/>
  <c r="D41"/>
  <c r="AR41" s="1"/>
  <c r="C41"/>
  <c r="D40"/>
  <c r="AR40" s="1"/>
  <c r="C40"/>
  <c r="D39"/>
  <c r="AR39" s="1"/>
  <c r="C39"/>
  <c r="D38"/>
  <c r="AR38" s="1"/>
  <c r="C38"/>
  <c r="D37"/>
  <c r="AR37" s="1"/>
  <c r="C37"/>
  <c r="D36"/>
  <c r="AR36" s="1"/>
  <c r="C36"/>
  <c r="D35"/>
  <c r="AR35" s="1"/>
  <c r="C35"/>
  <c r="D34"/>
  <c r="AR34" s="1"/>
  <c r="C34"/>
  <c r="D33"/>
  <c r="AR33" s="1"/>
  <c r="C33"/>
  <c r="D32"/>
  <c r="AR32" s="1"/>
  <c r="C32"/>
  <c r="D31"/>
  <c r="AR31" s="1"/>
  <c r="C31"/>
  <c r="D30"/>
  <c r="AR30" s="1"/>
  <c r="C30"/>
  <c r="D29"/>
  <c r="AR29" s="1"/>
  <c r="C29"/>
  <c r="D28"/>
  <c r="AR28" s="1"/>
  <c r="C28"/>
  <c r="D27"/>
  <c r="AR27" s="1"/>
  <c r="C27"/>
  <c r="D26"/>
  <c r="AR26" s="1"/>
  <c r="C26"/>
  <c r="D25"/>
  <c r="AR25" s="1"/>
  <c r="C25"/>
  <c r="D24"/>
  <c r="AR24" s="1"/>
  <c r="C24"/>
  <c r="D23"/>
  <c r="AR23" s="1"/>
  <c r="C23"/>
  <c r="D22"/>
  <c r="AR22" s="1"/>
  <c r="C22"/>
  <c r="D21"/>
  <c r="AR21" s="1"/>
  <c r="C21"/>
  <c r="D20"/>
  <c r="AR20" s="1"/>
  <c r="C20"/>
  <c r="D19"/>
  <c r="AR19" s="1"/>
  <c r="C19"/>
  <c r="D18"/>
  <c r="AR18" s="1"/>
  <c r="C18"/>
  <c r="D17"/>
  <c r="AR17" s="1"/>
  <c r="C17"/>
  <c r="D16"/>
  <c r="AR16" s="1"/>
  <c r="C16"/>
  <c r="D15"/>
  <c r="AR15" s="1"/>
  <c r="C15"/>
  <c r="D14"/>
  <c r="AR14" s="1"/>
  <c r="C14"/>
  <c r="D13"/>
  <c r="AR13" s="1"/>
  <c r="C13"/>
  <c r="AW12"/>
  <c r="D12"/>
  <c r="AR12" s="1"/>
  <c r="C12"/>
  <c r="D11"/>
  <c r="AR11" s="1"/>
  <c r="C11"/>
  <c r="D10"/>
  <c r="AR10" s="1"/>
  <c r="C10"/>
  <c r="AJ8"/>
  <c r="AG8"/>
  <c r="AD8"/>
  <c r="AA8"/>
  <c r="X8"/>
  <c r="U8"/>
  <c r="R8"/>
  <c r="O8"/>
  <c r="L8"/>
  <c r="I8"/>
  <c r="F8"/>
  <c r="G5"/>
  <c r="G4"/>
  <c r="AD67" i="29"/>
  <c r="AD66"/>
  <c r="AD61"/>
  <c r="D59"/>
  <c r="AR59" s="1"/>
  <c r="C59"/>
  <c r="D58"/>
  <c r="AR58" s="1"/>
  <c r="C58"/>
  <c r="D57"/>
  <c r="AR57" s="1"/>
  <c r="C57"/>
  <c r="D56"/>
  <c r="AR56" s="1"/>
  <c r="C56"/>
  <c r="D55"/>
  <c r="AR55" s="1"/>
  <c r="C55"/>
  <c r="D54"/>
  <c r="AR54" s="1"/>
  <c r="C54"/>
  <c r="D53"/>
  <c r="AR53" s="1"/>
  <c r="C53"/>
  <c r="D52"/>
  <c r="AR52" s="1"/>
  <c r="C52"/>
  <c r="D51"/>
  <c r="AR51" s="1"/>
  <c r="C51"/>
  <c r="D50"/>
  <c r="AR50" s="1"/>
  <c r="C50"/>
  <c r="D49"/>
  <c r="AR49" s="1"/>
  <c r="C49"/>
  <c r="D48"/>
  <c r="AR48" s="1"/>
  <c r="C48"/>
  <c r="D47"/>
  <c r="AR47" s="1"/>
  <c r="C47"/>
  <c r="D46"/>
  <c r="AR46" s="1"/>
  <c r="C46"/>
  <c r="D45"/>
  <c r="AR45" s="1"/>
  <c r="C45"/>
  <c r="D44"/>
  <c r="AR44" s="1"/>
  <c r="C44"/>
  <c r="D43"/>
  <c r="AR43" s="1"/>
  <c r="C43"/>
  <c r="D42"/>
  <c r="AR42" s="1"/>
  <c r="C42"/>
  <c r="D41"/>
  <c r="AR41" s="1"/>
  <c r="C41"/>
  <c r="D40"/>
  <c r="AR40" s="1"/>
  <c r="C40"/>
  <c r="D39"/>
  <c r="AR39" s="1"/>
  <c r="C39"/>
  <c r="D38"/>
  <c r="AR38" s="1"/>
  <c r="C38"/>
  <c r="D37"/>
  <c r="AR37" s="1"/>
  <c r="C37"/>
  <c r="D36"/>
  <c r="AR36" s="1"/>
  <c r="C36"/>
  <c r="D35"/>
  <c r="AR35" s="1"/>
  <c r="C35"/>
  <c r="D34"/>
  <c r="AR34" s="1"/>
  <c r="C34"/>
  <c r="D33"/>
  <c r="AR33" s="1"/>
  <c r="C33"/>
  <c r="D32"/>
  <c r="AR32" s="1"/>
  <c r="C32"/>
  <c r="D31"/>
  <c r="AR31" s="1"/>
  <c r="C31"/>
  <c r="D30"/>
  <c r="AR30" s="1"/>
  <c r="C30"/>
  <c r="D29"/>
  <c r="AR29" s="1"/>
  <c r="C29"/>
  <c r="D28"/>
  <c r="AR28" s="1"/>
  <c r="C28"/>
  <c r="D27"/>
  <c r="AR27" s="1"/>
  <c r="C27"/>
  <c r="D26"/>
  <c r="AR26" s="1"/>
  <c r="C26"/>
  <c r="D25"/>
  <c r="AR25" s="1"/>
  <c r="C25"/>
  <c r="D24"/>
  <c r="AR24" s="1"/>
  <c r="C24"/>
  <c r="D23"/>
  <c r="AR23" s="1"/>
  <c r="C23"/>
  <c r="D22"/>
  <c r="AR22" s="1"/>
  <c r="C22"/>
  <c r="D21"/>
  <c r="AR21" s="1"/>
  <c r="C21"/>
  <c r="D20"/>
  <c r="AR20" s="1"/>
  <c r="C20"/>
  <c r="D19"/>
  <c r="AR19" s="1"/>
  <c r="C19"/>
  <c r="D18"/>
  <c r="AR18" s="1"/>
  <c r="C18"/>
  <c r="D17"/>
  <c r="AR17" s="1"/>
  <c r="C17"/>
  <c r="D16"/>
  <c r="AR16" s="1"/>
  <c r="C16"/>
  <c r="D15"/>
  <c r="AR15" s="1"/>
  <c r="C15"/>
  <c r="D14"/>
  <c r="AR14" s="1"/>
  <c r="C14"/>
  <c r="D13"/>
  <c r="AR13" s="1"/>
  <c r="C13"/>
  <c r="AW12"/>
  <c r="D12"/>
  <c r="AR12" s="1"/>
  <c r="C12"/>
  <c r="D11"/>
  <c r="AR11" s="1"/>
  <c r="C11"/>
  <c r="D10"/>
  <c r="AR10" s="1"/>
  <c r="C10"/>
  <c r="AJ8"/>
  <c r="AG8"/>
  <c r="AD8"/>
  <c r="AA8"/>
  <c r="X8"/>
  <c r="U8"/>
  <c r="R8"/>
  <c r="O8"/>
  <c r="L8"/>
  <c r="I8"/>
  <c r="F8"/>
  <c r="G5"/>
  <c r="G4"/>
  <c r="AD67" i="28"/>
  <c r="AD66"/>
  <c r="AD61"/>
  <c r="D59"/>
  <c r="AR59" s="1"/>
  <c r="C59"/>
  <c r="D58"/>
  <c r="AR58" s="1"/>
  <c r="C58"/>
  <c r="D57"/>
  <c r="AR57" s="1"/>
  <c r="C57"/>
  <c r="D56"/>
  <c r="AR56" s="1"/>
  <c r="C56"/>
  <c r="D55"/>
  <c r="AR55" s="1"/>
  <c r="C55"/>
  <c r="D54"/>
  <c r="AR54" s="1"/>
  <c r="C54"/>
  <c r="D53"/>
  <c r="AR53" s="1"/>
  <c r="C53"/>
  <c r="D52"/>
  <c r="AR52" s="1"/>
  <c r="C52"/>
  <c r="D51"/>
  <c r="AR51" s="1"/>
  <c r="C51"/>
  <c r="D50"/>
  <c r="AR50" s="1"/>
  <c r="C50"/>
  <c r="D49"/>
  <c r="AR49" s="1"/>
  <c r="C49"/>
  <c r="D48"/>
  <c r="AR48" s="1"/>
  <c r="C48"/>
  <c r="D47"/>
  <c r="AR47" s="1"/>
  <c r="C47"/>
  <c r="D46"/>
  <c r="AR46" s="1"/>
  <c r="C46"/>
  <c r="D45"/>
  <c r="AR45" s="1"/>
  <c r="C45"/>
  <c r="D44"/>
  <c r="AR44" s="1"/>
  <c r="C44"/>
  <c r="D43"/>
  <c r="AR43" s="1"/>
  <c r="C43"/>
  <c r="D42"/>
  <c r="AR42" s="1"/>
  <c r="C42"/>
  <c r="D41"/>
  <c r="AR41" s="1"/>
  <c r="C41"/>
  <c r="D40"/>
  <c r="AR40" s="1"/>
  <c r="C40"/>
  <c r="D39"/>
  <c r="AR39" s="1"/>
  <c r="C39"/>
  <c r="D38"/>
  <c r="AR38" s="1"/>
  <c r="C38"/>
  <c r="D37"/>
  <c r="AR37" s="1"/>
  <c r="C37"/>
  <c r="D36"/>
  <c r="AR36" s="1"/>
  <c r="C36"/>
  <c r="D35"/>
  <c r="AR35" s="1"/>
  <c r="C35"/>
  <c r="D34"/>
  <c r="AR34" s="1"/>
  <c r="C34"/>
  <c r="D33"/>
  <c r="AR33" s="1"/>
  <c r="C33"/>
  <c r="D32"/>
  <c r="AR32" s="1"/>
  <c r="C32"/>
  <c r="D31"/>
  <c r="AR31" s="1"/>
  <c r="C31"/>
  <c r="D30"/>
  <c r="AR30" s="1"/>
  <c r="C30"/>
  <c r="D29"/>
  <c r="AR29" s="1"/>
  <c r="C29"/>
  <c r="D28"/>
  <c r="AR28" s="1"/>
  <c r="C28"/>
  <c r="D27"/>
  <c r="AR27" s="1"/>
  <c r="C27"/>
  <c r="D26"/>
  <c r="AR26" s="1"/>
  <c r="C26"/>
  <c r="D25"/>
  <c r="AR25" s="1"/>
  <c r="C25"/>
  <c r="D24"/>
  <c r="AR24" s="1"/>
  <c r="C24"/>
  <c r="D23"/>
  <c r="AR23" s="1"/>
  <c r="C23"/>
  <c r="D22"/>
  <c r="AR22" s="1"/>
  <c r="C22"/>
  <c r="D21"/>
  <c r="AR21" s="1"/>
  <c r="C21"/>
  <c r="D20"/>
  <c r="AR20" s="1"/>
  <c r="C20"/>
  <c r="D19"/>
  <c r="AR19" s="1"/>
  <c r="C19"/>
  <c r="D18"/>
  <c r="AR18" s="1"/>
  <c r="C18"/>
  <c r="D17"/>
  <c r="AR17" s="1"/>
  <c r="C17"/>
  <c r="D16"/>
  <c r="AR16" s="1"/>
  <c r="C16"/>
  <c r="D15"/>
  <c r="AR15" s="1"/>
  <c r="C15"/>
  <c r="D14"/>
  <c r="AR14" s="1"/>
  <c r="C14"/>
  <c r="D13"/>
  <c r="AR13" s="1"/>
  <c r="C13"/>
  <c r="AW12"/>
  <c r="D12"/>
  <c r="AR12" s="1"/>
  <c r="C12"/>
  <c r="D11"/>
  <c r="AR11" s="1"/>
  <c r="C11"/>
  <c r="D10"/>
  <c r="AR10" s="1"/>
  <c r="C10"/>
  <c r="AJ8"/>
  <c r="AG8"/>
  <c r="AD8"/>
  <c r="AA8"/>
  <c r="X8"/>
  <c r="U8"/>
  <c r="R8"/>
  <c r="O8"/>
  <c r="L8"/>
  <c r="I8"/>
  <c r="F8"/>
  <c r="G5"/>
  <c r="G4"/>
  <c r="AJ8" i="27"/>
  <c r="AG8"/>
  <c r="AD8"/>
  <c r="AA8"/>
  <c r="X8"/>
  <c r="U8"/>
  <c r="R8"/>
  <c r="O8"/>
  <c r="L8"/>
  <c r="I8"/>
  <c r="F8"/>
  <c r="L9" i="39" l="1"/>
  <c r="Y37" i="41"/>
  <c r="N12" i="2"/>
  <c r="O11"/>
  <c r="AD67" i="27"/>
  <c r="AD66"/>
  <c r="AD61"/>
  <c r="D59"/>
  <c r="AR59" s="1"/>
  <c r="C59"/>
  <c r="D58"/>
  <c r="AR58" s="1"/>
  <c r="C58"/>
  <c r="D57"/>
  <c r="AR57" s="1"/>
  <c r="C57"/>
  <c r="D56"/>
  <c r="AR56" s="1"/>
  <c r="C56"/>
  <c r="D55"/>
  <c r="AR55" s="1"/>
  <c r="C55"/>
  <c r="D54"/>
  <c r="AR54" s="1"/>
  <c r="C54"/>
  <c r="D53"/>
  <c r="AR53" s="1"/>
  <c r="C53"/>
  <c r="D52"/>
  <c r="AR52" s="1"/>
  <c r="C52"/>
  <c r="D51"/>
  <c r="AR51" s="1"/>
  <c r="C51"/>
  <c r="D50"/>
  <c r="AR50" s="1"/>
  <c r="C50"/>
  <c r="D49"/>
  <c r="AR49" s="1"/>
  <c r="C49"/>
  <c r="D48"/>
  <c r="AR48" s="1"/>
  <c r="C48"/>
  <c r="D47"/>
  <c r="AR47" s="1"/>
  <c r="C47"/>
  <c r="D46"/>
  <c r="AR46" s="1"/>
  <c r="C46"/>
  <c r="D45"/>
  <c r="AR45" s="1"/>
  <c r="C45"/>
  <c r="D44"/>
  <c r="AR44" s="1"/>
  <c r="C44"/>
  <c r="D43"/>
  <c r="AR43" s="1"/>
  <c r="C43"/>
  <c r="D42"/>
  <c r="AR42" s="1"/>
  <c r="C42"/>
  <c r="D41"/>
  <c r="AR41" s="1"/>
  <c r="C41"/>
  <c r="D40"/>
  <c r="AR40" s="1"/>
  <c r="C40"/>
  <c r="D39"/>
  <c r="AR39" s="1"/>
  <c r="C39"/>
  <c r="D38"/>
  <c r="AR38" s="1"/>
  <c r="C38"/>
  <c r="D37"/>
  <c r="AR37" s="1"/>
  <c r="C37"/>
  <c r="D36"/>
  <c r="AR36" s="1"/>
  <c r="C36"/>
  <c r="D35"/>
  <c r="AR35" s="1"/>
  <c r="C35"/>
  <c r="D34"/>
  <c r="AR34" s="1"/>
  <c r="C34"/>
  <c r="D33"/>
  <c r="AR33" s="1"/>
  <c r="C33"/>
  <c r="D32"/>
  <c r="AR32" s="1"/>
  <c r="C32"/>
  <c r="D31"/>
  <c r="AR31" s="1"/>
  <c r="C31"/>
  <c r="D30"/>
  <c r="AR30" s="1"/>
  <c r="C30"/>
  <c r="D29"/>
  <c r="AR29" s="1"/>
  <c r="C29"/>
  <c r="D28"/>
  <c r="AR28" s="1"/>
  <c r="C28"/>
  <c r="D27"/>
  <c r="AR27" s="1"/>
  <c r="C27"/>
  <c r="D26"/>
  <c r="AR26" s="1"/>
  <c r="C26"/>
  <c r="D25"/>
  <c r="AR25" s="1"/>
  <c r="C25"/>
  <c r="D24"/>
  <c r="AR24" s="1"/>
  <c r="C24"/>
  <c r="D23"/>
  <c r="AR23" s="1"/>
  <c r="C23"/>
  <c r="D22"/>
  <c r="AR22" s="1"/>
  <c r="C22"/>
  <c r="D21"/>
  <c r="AR21" s="1"/>
  <c r="C21"/>
  <c r="D20"/>
  <c r="AR20" s="1"/>
  <c r="C20"/>
  <c r="D19"/>
  <c r="AR19" s="1"/>
  <c r="C19"/>
  <c r="D18"/>
  <c r="AR18" s="1"/>
  <c r="C18"/>
  <c r="D17"/>
  <c r="AR17" s="1"/>
  <c r="C17"/>
  <c r="D16"/>
  <c r="AR16" s="1"/>
  <c r="C16"/>
  <c r="D15"/>
  <c r="AR15" s="1"/>
  <c r="C15"/>
  <c r="D14"/>
  <c r="AR14" s="1"/>
  <c r="C14"/>
  <c r="D13"/>
  <c r="AR13" s="1"/>
  <c r="C13"/>
  <c r="AW12"/>
  <c r="D12"/>
  <c r="AR12" s="1"/>
  <c r="C12"/>
  <c r="D11"/>
  <c r="AR11" s="1"/>
  <c r="C11"/>
  <c r="D10"/>
  <c r="AR10" s="1"/>
  <c r="C10"/>
  <c r="G5"/>
  <c r="G4"/>
  <c r="G13" i="26"/>
  <c r="G12"/>
  <c r="G11"/>
  <c r="G10"/>
  <c r="C6"/>
  <c r="N66" i="24"/>
  <c r="N65"/>
  <c r="N60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V29" s="1"/>
  <c r="C29"/>
  <c r="D28"/>
  <c r="V28" s="1"/>
  <c r="C28"/>
  <c r="D27"/>
  <c r="V27" s="1"/>
  <c r="C27"/>
  <c r="D26"/>
  <c r="V26" s="1"/>
  <c r="C26"/>
  <c r="D25"/>
  <c r="V25" s="1"/>
  <c r="C25"/>
  <c r="D24"/>
  <c r="V24" s="1"/>
  <c r="C24"/>
  <c r="D23"/>
  <c r="V23" s="1"/>
  <c r="C23"/>
  <c r="D22"/>
  <c r="V22" s="1"/>
  <c r="C22"/>
  <c r="D21"/>
  <c r="V21" s="1"/>
  <c r="C21"/>
  <c r="D20"/>
  <c r="V20" s="1"/>
  <c r="C20"/>
  <c r="D19"/>
  <c r="V19" s="1"/>
  <c r="C19"/>
  <c r="D18"/>
  <c r="V18" s="1"/>
  <c r="C18"/>
  <c r="D17"/>
  <c r="V17" s="1"/>
  <c r="C17"/>
  <c r="D16"/>
  <c r="V16" s="1"/>
  <c r="C16"/>
  <c r="D15"/>
  <c r="V15" s="1"/>
  <c r="C15"/>
  <c r="D14"/>
  <c r="V14" s="1"/>
  <c r="C14"/>
  <c r="D13"/>
  <c r="V13" s="1"/>
  <c r="C13"/>
  <c r="D12"/>
  <c r="V12" s="1"/>
  <c r="C12"/>
  <c r="D11"/>
  <c r="V11" s="1"/>
  <c r="C11"/>
  <c r="D10"/>
  <c r="V10" s="1"/>
  <c r="C10"/>
  <c r="D9"/>
  <c r="V9" s="1"/>
  <c r="C9"/>
  <c r="G5"/>
  <c r="G4"/>
  <c r="N13" i="2" l="1"/>
  <c r="O12"/>
  <c r="V31" i="24"/>
  <c r="V35"/>
  <c r="V39"/>
  <c r="T39"/>
  <c r="V43"/>
  <c r="T43"/>
  <c r="V47"/>
  <c r="T47"/>
  <c r="V51"/>
  <c r="T51"/>
  <c r="V55"/>
  <c r="T55"/>
  <c r="V40"/>
  <c r="T40"/>
  <c r="V36"/>
  <c r="V48"/>
  <c r="T48"/>
  <c r="V56"/>
  <c r="T56"/>
  <c r="V32"/>
  <c r="V44"/>
  <c r="T44"/>
  <c r="V52"/>
  <c r="T52"/>
  <c r="V33"/>
  <c r="V37"/>
  <c r="V41"/>
  <c r="T41"/>
  <c r="V45"/>
  <c r="T45"/>
  <c r="V49"/>
  <c r="T49"/>
  <c r="V53"/>
  <c r="T53"/>
  <c r="V57"/>
  <c r="T57"/>
  <c r="V30"/>
  <c r="V34"/>
  <c r="V38"/>
  <c r="V42"/>
  <c r="T42"/>
  <c r="V46"/>
  <c r="T46"/>
  <c r="V50"/>
  <c r="T50"/>
  <c r="V54"/>
  <c r="T54"/>
  <c r="V58"/>
  <c r="T58"/>
  <c r="C12" i="23"/>
  <c r="J4"/>
  <c r="J3"/>
  <c r="T12" i="2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11"/>
  <c r="F11" i="18"/>
  <c r="L11"/>
  <c r="K11"/>
  <c r="J11"/>
  <c r="I11"/>
  <c r="H11"/>
  <c r="G11"/>
  <c r="E11"/>
  <c r="D11"/>
  <c r="G6" i="22"/>
  <c r="G5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Z14"/>
  <c r="N14" s="1"/>
  <c r="Z15"/>
  <c r="M15" s="1"/>
  <c r="Z16"/>
  <c r="N16" s="1"/>
  <c r="Z17"/>
  <c r="N17" s="1"/>
  <c r="Z18"/>
  <c r="N18" s="1"/>
  <c r="Z19"/>
  <c r="M19" s="1"/>
  <c r="Z20"/>
  <c r="N20" s="1"/>
  <c r="Z21"/>
  <c r="N21" s="1"/>
  <c r="Z22"/>
  <c r="N22" s="1"/>
  <c r="Z23"/>
  <c r="M23" s="1"/>
  <c r="Z24"/>
  <c r="N24" s="1"/>
  <c r="Z25"/>
  <c r="N25" s="1"/>
  <c r="Z26"/>
  <c r="N26" s="1"/>
  <c r="Z27"/>
  <c r="M27" s="1"/>
  <c r="Z28"/>
  <c r="N28" s="1"/>
  <c r="Z29"/>
  <c r="N29" s="1"/>
  <c r="Z30"/>
  <c r="N30" s="1"/>
  <c r="Z31"/>
  <c r="M31" s="1"/>
  <c r="Z32"/>
  <c r="N32" s="1"/>
  <c r="Z33"/>
  <c r="N33" s="1"/>
  <c r="Z34"/>
  <c r="N34" s="1"/>
  <c r="Z35"/>
  <c r="M35" s="1"/>
  <c r="Z36"/>
  <c r="N36" s="1"/>
  <c r="Z37"/>
  <c r="N37" s="1"/>
  <c r="Z38"/>
  <c r="N38" s="1"/>
  <c r="Z39"/>
  <c r="M39" s="1"/>
  <c r="Z40"/>
  <c r="N40" s="1"/>
  <c r="Z41"/>
  <c r="N41" s="1"/>
  <c r="Z42"/>
  <c r="N42" s="1"/>
  <c r="Z43"/>
  <c r="M43" s="1"/>
  <c r="Z44"/>
  <c r="N44" s="1"/>
  <c r="Z45"/>
  <c r="N45" s="1"/>
  <c r="Z46"/>
  <c r="M46" s="1"/>
  <c r="Z47"/>
  <c r="M47" s="1"/>
  <c r="Z48"/>
  <c r="N48" s="1"/>
  <c r="Z49"/>
  <c r="N49" s="1"/>
  <c r="Z50"/>
  <c r="N50" s="1"/>
  <c r="Z51"/>
  <c r="M51" s="1"/>
  <c r="Z52"/>
  <c r="N52" s="1"/>
  <c r="Z53"/>
  <c r="N53" s="1"/>
  <c r="Z54"/>
  <c r="N54" s="1"/>
  <c r="Z55"/>
  <c r="M55" s="1"/>
  <c r="Z56"/>
  <c r="N56" s="1"/>
  <c r="Z57"/>
  <c r="N57" s="1"/>
  <c r="Z58"/>
  <c r="N58" s="1"/>
  <c r="Z59"/>
  <c r="M59" s="1"/>
  <c r="Z60"/>
  <c r="N60" s="1"/>
  <c r="Z12"/>
  <c r="N12" s="1"/>
  <c r="Z13"/>
  <c r="N13" s="1"/>
  <c r="Z11"/>
  <c r="N11" s="1"/>
  <c r="L11"/>
  <c r="D60"/>
  <c r="X60" s="1"/>
  <c r="C60"/>
  <c r="D59"/>
  <c r="X59" s="1"/>
  <c r="C59"/>
  <c r="D58"/>
  <c r="X58" s="1"/>
  <c r="C58"/>
  <c r="D57"/>
  <c r="X57" s="1"/>
  <c r="C57"/>
  <c r="D56"/>
  <c r="X56" s="1"/>
  <c r="C56"/>
  <c r="D55"/>
  <c r="X55" s="1"/>
  <c r="C55"/>
  <c r="D54"/>
  <c r="X54" s="1"/>
  <c r="C54"/>
  <c r="D53"/>
  <c r="X53" s="1"/>
  <c r="C53"/>
  <c r="D52"/>
  <c r="X52" s="1"/>
  <c r="C52"/>
  <c r="D51"/>
  <c r="X51" s="1"/>
  <c r="C51"/>
  <c r="D50"/>
  <c r="X50" s="1"/>
  <c r="C50"/>
  <c r="D49"/>
  <c r="X49" s="1"/>
  <c r="C49"/>
  <c r="D48"/>
  <c r="X48" s="1"/>
  <c r="C48"/>
  <c r="D47"/>
  <c r="X47" s="1"/>
  <c r="C47"/>
  <c r="D46"/>
  <c r="X46" s="1"/>
  <c r="C46"/>
  <c r="D45"/>
  <c r="X45" s="1"/>
  <c r="C45"/>
  <c r="D44"/>
  <c r="X44" s="1"/>
  <c r="C44"/>
  <c r="D43"/>
  <c r="X43" s="1"/>
  <c r="C43"/>
  <c r="D42"/>
  <c r="X42" s="1"/>
  <c r="C42"/>
  <c r="D41"/>
  <c r="X41" s="1"/>
  <c r="C41"/>
  <c r="D40"/>
  <c r="X40" s="1"/>
  <c r="C40"/>
  <c r="D39"/>
  <c r="X39" s="1"/>
  <c r="C39"/>
  <c r="D38"/>
  <c r="X38" s="1"/>
  <c r="C38"/>
  <c r="D37"/>
  <c r="X37" s="1"/>
  <c r="C37"/>
  <c r="D36"/>
  <c r="X36" s="1"/>
  <c r="C36"/>
  <c r="D35"/>
  <c r="X35" s="1"/>
  <c r="C35"/>
  <c r="D34"/>
  <c r="X34" s="1"/>
  <c r="C34"/>
  <c r="D33"/>
  <c r="X33" s="1"/>
  <c r="C33"/>
  <c r="D32"/>
  <c r="X32" s="1"/>
  <c r="C32"/>
  <c r="D31"/>
  <c r="X31" s="1"/>
  <c r="C31"/>
  <c r="D30"/>
  <c r="X30" s="1"/>
  <c r="C30"/>
  <c r="D29"/>
  <c r="X29" s="1"/>
  <c r="C29"/>
  <c r="D28"/>
  <c r="X28" s="1"/>
  <c r="C28"/>
  <c r="D27"/>
  <c r="X27" s="1"/>
  <c r="C27"/>
  <c r="D26"/>
  <c r="X26" s="1"/>
  <c r="C26"/>
  <c r="D25"/>
  <c r="X25" s="1"/>
  <c r="C25"/>
  <c r="D24"/>
  <c r="X24" s="1"/>
  <c r="C24"/>
  <c r="D23"/>
  <c r="X23" s="1"/>
  <c r="C23"/>
  <c r="D22"/>
  <c r="X22" s="1"/>
  <c r="C22"/>
  <c r="D21"/>
  <c r="X21" s="1"/>
  <c r="C21"/>
  <c r="D20"/>
  <c r="X20" s="1"/>
  <c r="C20"/>
  <c r="D19"/>
  <c r="X19" s="1"/>
  <c r="C19"/>
  <c r="D18"/>
  <c r="X18" s="1"/>
  <c r="C18"/>
  <c r="D17"/>
  <c r="X17" s="1"/>
  <c r="C17"/>
  <c r="D16"/>
  <c r="X16" s="1"/>
  <c r="C16"/>
  <c r="D15"/>
  <c r="X15" s="1"/>
  <c r="C15"/>
  <c r="D14"/>
  <c r="X14" s="1"/>
  <c r="C14"/>
  <c r="AF13"/>
  <c r="D13"/>
  <c r="X13" s="1"/>
  <c r="C13"/>
  <c r="D12"/>
  <c r="X12" s="1"/>
  <c r="C12"/>
  <c r="D11"/>
  <c r="X11" s="1"/>
  <c r="C11"/>
  <c r="N14" i="2" l="1"/>
  <c r="O13"/>
  <c r="M42" i="22"/>
  <c r="AA42" s="1"/>
  <c r="V42" s="1"/>
  <c r="M58"/>
  <c r="AA58" s="1"/>
  <c r="V58" s="1"/>
  <c r="N46"/>
  <c r="AA46" s="1"/>
  <c r="V46" s="1"/>
  <c r="N59"/>
  <c r="AA59" s="1"/>
  <c r="V59" s="1"/>
  <c r="N55"/>
  <c r="N51"/>
  <c r="AA51" s="1"/>
  <c r="V51" s="1"/>
  <c r="N47"/>
  <c r="AA47" s="1"/>
  <c r="V47" s="1"/>
  <c r="N43"/>
  <c r="AA43" s="1"/>
  <c r="V43" s="1"/>
  <c r="N39"/>
  <c r="AA39" s="1"/>
  <c r="V39" s="1"/>
  <c r="N35"/>
  <c r="AA35" s="1"/>
  <c r="V35" s="1"/>
  <c r="N31"/>
  <c r="AA31" s="1"/>
  <c r="V31" s="1"/>
  <c r="N27"/>
  <c r="AA27" s="1"/>
  <c r="V27" s="1"/>
  <c r="N23"/>
  <c r="AA23" s="1"/>
  <c r="V23" s="1"/>
  <c r="N19"/>
  <c r="AA19" s="1"/>
  <c r="V19" s="1"/>
  <c r="N15"/>
  <c r="AA15" s="1"/>
  <c r="V15" s="1"/>
  <c r="M11" i="18"/>
  <c r="N11" s="1"/>
  <c r="M50" i="22"/>
  <c r="AA50" s="1"/>
  <c r="V50" s="1"/>
  <c r="M54"/>
  <c r="AA54" s="1"/>
  <c r="V54" s="1"/>
  <c r="M38"/>
  <c r="AA38" s="1"/>
  <c r="V38" s="1"/>
  <c r="M34"/>
  <c r="AA34" s="1"/>
  <c r="V34" s="1"/>
  <c r="M30"/>
  <c r="AA30" s="1"/>
  <c r="V30" s="1"/>
  <c r="M26"/>
  <c r="AA26" s="1"/>
  <c r="V26" s="1"/>
  <c r="M22"/>
  <c r="AA22" s="1"/>
  <c r="V22" s="1"/>
  <c r="M18"/>
  <c r="AA18" s="1"/>
  <c r="V18" s="1"/>
  <c r="M14"/>
  <c r="AA14" s="1"/>
  <c r="V14" s="1"/>
  <c r="M60"/>
  <c r="AA60" s="1"/>
  <c r="V60" s="1"/>
  <c r="M56"/>
  <c r="AA56" s="1"/>
  <c r="V56" s="1"/>
  <c r="M52"/>
  <c r="AA52" s="1"/>
  <c r="V52" s="1"/>
  <c r="M48"/>
  <c r="AA48" s="1"/>
  <c r="V48" s="1"/>
  <c r="M44"/>
  <c r="AA44" s="1"/>
  <c r="V44" s="1"/>
  <c r="M40"/>
  <c r="AA40" s="1"/>
  <c r="V40" s="1"/>
  <c r="M36"/>
  <c r="AA36" s="1"/>
  <c r="V36" s="1"/>
  <c r="M32"/>
  <c r="AA32" s="1"/>
  <c r="V32" s="1"/>
  <c r="M28"/>
  <c r="AA28" s="1"/>
  <c r="V28" s="1"/>
  <c r="M24"/>
  <c r="AA24" s="1"/>
  <c r="V24" s="1"/>
  <c r="M20"/>
  <c r="AA20" s="1"/>
  <c r="V20" s="1"/>
  <c r="M16"/>
  <c r="AA16" s="1"/>
  <c r="V16" s="1"/>
  <c r="M12"/>
  <c r="AA12" s="1"/>
  <c r="V12" s="1"/>
  <c r="M11"/>
  <c r="AA11" s="1"/>
  <c r="V11" s="1"/>
  <c r="M57"/>
  <c r="AA57" s="1"/>
  <c r="V57" s="1"/>
  <c r="M53"/>
  <c r="AA53" s="1"/>
  <c r="V53" s="1"/>
  <c r="M49"/>
  <c r="AA49" s="1"/>
  <c r="V49" s="1"/>
  <c r="M45"/>
  <c r="AA45" s="1"/>
  <c r="V45" s="1"/>
  <c r="M41"/>
  <c r="AA41" s="1"/>
  <c r="V41" s="1"/>
  <c r="M37"/>
  <c r="AA37" s="1"/>
  <c r="V37" s="1"/>
  <c r="M33"/>
  <c r="AA33" s="1"/>
  <c r="V33" s="1"/>
  <c r="M29"/>
  <c r="AA29" s="1"/>
  <c r="V29" s="1"/>
  <c r="M25"/>
  <c r="AA25" s="1"/>
  <c r="V25" s="1"/>
  <c r="M21"/>
  <c r="AA21" s="1"/>
  <c r="V21" s="1"/>
  <c r="M17"/>
  <c r="AA17" s="1"/>
  <c r="V17" s="1"/>
  <c r="M13"/>
  <c r="AA13" s="1"/>
  <c r="V13" s="1"/>
  <c r="AA55"/>
  <c r="V55" s="1"/>
  <c r="AN62" i="6"/>
  <c r="N59" i="7"/>
  <c r="H56" i="2"/>
  <c r="C7" i="1"/>
  <c r="D8" s="1"/>
  <c r="D15" i="5" l="1"/>
  <c r="C17" i="35"/>
  <c r="N61" i="24"/>
  <c r="N60" i="7"/>
  <c r="P64" i="22"/>
  <c r="J15" i="18"/>
  <c r="N15" i="17"/>
  <c r="K21" i="23"/>
  <c r="C13" i="41"/>
  <c r="H57" i="2"/>
  <c r="S42" i="41"/>
  <c r="G3" i="31"/>
  <c r="N15" i="2"/>
  <c r="O14"/>
  <c r="G20" i="41"/>
  <c r="E3" i="39"/>
  <c r="G24" i="35"/>
  <c r="G3" i="32"/>
  <c r="AD62"/>
  <c r="AD62" i="31"/>
  <c r="G3" i="30"/>
  <c r="AD62"/>
  <c r="G3" i="29"/>
  <c r="AD62"/>
  <c r="AD62" i="28"/>
  <c r="D2" i="1"/>
  <c r="G3" i="28"/>
  <c r="AD62" i="27"/>
  <c r="G3"/>
  <c r="G3" i="24"/>
  <c r="G4" i="22"/>
  <c r="U12"/>
  <c r="U11"/>
  <c r="U41"/>
  <c r="U43"/>
  <c r="U36"/>
  <c r="U19"/>
  <c r="U39"/>
  <c r="U34"/>
  <c r="U21"/>
  <c r="U53"/>
  <c r="U16"/>
  <c r="U48"/>
  <c r="U35"/>
  <c r="U55"/>
  <c r="U50"/>
  <c r="U25"/>
  <c r="U57"/>
  <c r="U20"/>
  <c r="U52"/>
  <c r="U14"/>
  <c r="U58"/>
  <c r="U37"/>
  <c r="U38"/>
  <c r="U32"/>
  <c r="U15"/>
  <c r="U30"/>
  <c r="U17"/>
  <c r="U33"/>
  <c r="U49"/>
  <c r="U27"/>
  <c r="U59"/>
  <c r="U28"/>
  <c r="U44"/>
  <c r="U60"/>
  <c r="U31"/>
  <c r="U51"/>
  <c r="U26"/>
  <c r="U46"/>
  <c r="U13"/>
  <c r="U29"/>
  <c r="U45"/>
  <c r="U22"/>
  <c r="U54"/>
  <c r="U24"/>
  <c r="U40"/>
  <c r="U56"/>
  <c r="U23"/>
  <c r="U47"/>
  <c r="U18"/>
  <c r="U42"/>
  <c r="K16" i="1"/>
  <c r="N16" i="2" l="1"/>
  <c r="O15"/>
  <c r="D11" i="17"/>
  <c r="C11"/>
  <c r="C11" i="18"/>
  <c r="E6"/>
  <c r="E5"/>
  <c r="E4"/>
  <c r="N17" i="2" l="1"/>
  <c r="O16"/>
  <c r="G5" i="17"/>
  <c r="G4"/>
  <c r="G3"/>
  <c r="P11"/>
  <c r="O11"/>
  <c r="N11"/>
  <c r="M11"/>
  <c r="L11"/>
  <c r="K11"/>
  <c r="V11"/>
  <c r="U11"/>
  <c r="T11"/>
  <c r="S11"/>
  <c r="R11"/>
  <c r="Q11"/>
  <c r="J11"/>
  <c r="I11"/>
  <c r="H11"/>
  <c r="G11"/>
  <c r="F11"/>
  <c r="E11"/>
  <c r="N18" i="2" l="1"/>
  <c r="O17"/>
  <c r="G25" i="5"/>
  <c r="G24"/>
  <c r="G23"/>
  <c r="G22"/>
  <c r="G21"/>
  <c r="D19"/>
  <c r="D18"/>
  <c r="D17"/>
  <c r="D12"/>
  <c r="N19" i="2" l="1"/>
  <c r="O18"/>
  <c r="AN68" i="6"/>
  <c r="AN67"/>
  <c r="AN63"/>
  <c r="E60"/>
  <c r="C60"/>
  <c r="E59"/>
  <c r="C59"/>
  <c r="E58"/>
  <c r="C58"/>
  <c r="E57"/>
  <c r="C57"/>
  <c r="E56"/>
  <c r="C56"/>
  <c r="E55"/>
  <c r="C55"/>
  <c r="E54"/>
  <c r="C54"/>
  <c r="E53"/>
  <c r="C53"/>
  <c r="E52"/>
  <c r="C52"/>
  <c r="E51"/>
  <c r="C51"/>
  <c r="E50"/>
  <c r="C50"/>
  <c r="E49"/>
  <c r="C49"/>
  <c r="E48"/>
  <c r="C48"/>
  <c r="E47"/>
  <c r="C47"/>
  <c r="E46"/>
  <c r="C46"/>
  <c r="E45"/>
  <c r="C45"/>
  <c r="E44"/>
  <c r="C44"/>
  <c r="E43"/>
  <c r="C43"/>
  <c r="E42"/>
  <c r="C42"/>
  <c r="E41"/>
  <c r="C41"/>
  <c r="E40"/>
  <c r="C40"/>
  <c r="E39"/>
  <c r="C39"/>
  <c r="E38"/>
  <c r="C38"/>
  <c r="E37"/>
  <c r="C37"/>
  <c r="E36"/>
  <c r="C36"/>
  <c r="E35"/>
  <c r="C35"/>
  <c r="E34"/>
  <c r="C34"/>
  <c r="E33"/>
  <c r="C33"/>
  <c r="E32"/>
  <c r="C32"/>
  <c r="E31"/>
  <c r="C31"/>
  <c r="E30"/>
  <c r="C30"/>
  <c r="E29"/>
  <c r="C29"/>
  <c r="E28"/>
  <c r="C28"/>
  <c r="E27"/>
  <c r="C27"/>
  <c r="E26"/>
  <c r="C26"/>
  <c r="E25"/>
  <c r="C25"/>
  <c r="E24"/>
  <c r="C24"/>
  <c r="E23"/>
  <c r="C23"/>
  <c r="E22"/>
  <c r="C22"/>
  <c r="E21"/>
  <c r="C21"/>
  <c r="E20"/>
  <c r="C20"/>
  <c r="E19"/>
  <c r="C19"/>
  <c r="E18"/>
  <c r="C18"/>
  <c r="E17"/>
  <c r="C17"/>
  <c r="E16"/>
  <c r="C16"/>
  <c r="E15"/>
  <c r="C15"/>
  <c r="E14"/>
  <c r="C14"/>
  <c r="BG13"/>
  <c r="E13"/>
  <c r="C13"/>
  <c r="E12"/>
  <c r="C12"/>
  <c r="E11"/>
  <c r="N20" i="2" l="1"/>
  <c r="O19"/>
  <c r="BB48" i="6"/>
  <c r="BB50"/>
  <c r="BB52"/>
  <c r="BB54"/>
  <c r="BB56"/>
  <c r="BB58"/>
  <c r="BB60"/>
  <c r="BB44"/>
  <c r="BB46"/>
  <c r="BB16"/>
  <c r="BB20"/>
  <c r="BB24"/>
  <c r="BB28"/>
  <c r="BB32"/>
  <c r="BB36"/>
  <c r="BB38"/>
  <c r="BB40"/>
  <c r="BB42"/>
  <c r="BB12"/>
  <c r="BB18"/>
  <c r="BB22"/>
  <c r="BB26"/>
  <c r="BB30"/>
  <c r="BB34"/>
  <c r="BB11"/>
  <c r="BB14"/>
  <c r="BB17"/>
  <c r="BB21"/>
  <c r="BB25"/>
  <c r="BB29"/>
  <c r="BB33"/>
  <c r="BB37"/>
  <c r="BB41"/>
  <c r="BB45"/>
  <c r="BB49"/>
  <c r="BB53"/>
  <c r="BB57"/>
  <c r="BB13"/>
  <c r="BB15"/>
  <c r="BB19"/>
  <c r="BB23"/>
  <c r="BB27"/>
  <c r="BB31"/>
  <c r="BB35"/>
  <c r="BB39"/>
  <c r="BB43"/>
  <c r="BB47"/>
  <c r="BB51"/>
  <c r="BB55"/>
  <c r="BB59"/>
  <c r="C11"/>
  <c r="AU8"/>
  <c r="AQ8"/>
  <c r="AM8"/>
  <c r="AU7"/>
  <c r="AQ7"/>
  <c r="AM7"/>
  <c r="AI7"/>
  <c r="AE7"/>
  <c r="AA7"/>
  <c r="W7"/>
  <c r="S7"/>
  <c r="O7"/>
  <c r="K7"/>
  <c r="G7"/>
  <c r="L5"/>
  <c r="L4"/>
  <c r="L3"/>
  <c r="N66" i="7"/>
  <c r="N64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Z10"/>
  <c r="D10"/>
  <c r="C10"/>
  <c r="D9"/>
  <c r="C9"/>
  <c r="D8"/>
  <c r="C8"/>
  <c r="G5"/>
  <c r="G4"/>
  <c r="G3"/>
  <c r="N21" i="2" l="1"/>
  <c r="O20"/>
  <c r="U17" i="7"/>
  <c r="U21"/>
  <c r="U25"/>
  <c r="U29"/>
  <c r="U33"/>
  <c r="U37"/>
  <c r="U41"/>
  <c r="U45"/>
  <c r="U49"/>
  <c r="U53"/>
  <c r="U57"/>
  <c r="U8"/>
  <c r="U14"/>
  <c r="U18"/>
  <c r="U22"/>
  <c r="U26"/>
  <c r="U30"/>
  <c r="U34"/>
  <c r="U38"/>
  <c r="U42"/>
  <c r="U46"/>
  <c r="U50"/>
  <c r="U54"/>
  <c r="U9"/>
  <c r="U15"/>
  <c r="U19"/>
  <c r="U23"/>
  <c r="U27"/>
  <c r="U31"/>
  <c r="U35"/>
  <c r="U39"/>
  <c r="U43"/>
  <c r="U47"/>
  <c r="U51"/>
  <c r="U55"/>
  <c r="U10"/>
  <c r="U11"/>
  <c r="U12"/>
  <c r="U16"/>
  <c r="U20"/>
  <c r="U24"/>
  <c r="U28"/>
  <c r="U32"/>
  <c r="U36"/>
  <c r="U40"/>
  <c r="U44"/>
  <c r="U48"/>
  <c r="U52"/>
  <c r="U56"/>
  <c r="U13"/>
  <c r="H63" i="2"/>
  <c r="H61"/>
  <c r="AJ53"/>
  <c r="H53"/>
  <c r="AJ52"/>
  <c r="H52"/>
  <c r="AJ51"/>
  <c r="H51"/>
  <c r="AJ50"/>
  <c r="H50"/>
  <c r="AJ49"/>
  <c r="H49"/>
  <c r="AJ48"/>
  <c r="H48"/>
  <c r="AJ47"/>
  <c r="H47"/>
  <c r="AJ46"/>
  <c r="H46"/>
  <c r="AJ45"/>
  <c r="H45"/>
  <c r="AJ44"/>
  <c r="H44"/>
  <c r="AJ43"/>
  <c r="H43"/>
  <c r="AJ42"/>
  <c r="H42"/>
  <c r="AJ41"/>
  <c r="H41"/>
  <c r="AJ40"/>
  <c r="H40"/>
  <c r="AJ39"/>
  <c r="H39"/>
  <c r="AJ38"/>
  <c r="H38"/>
  <c r="AJ37"/>
  <c r="H37"/>
  <c r="AJ36"/>
  <c r="H36"/>
  <c r="AJ35"/>
  <c r="H35"/>
  <c r="AJ34"/>
  <c r="H34"/>
  <c r="AJ33"/>
  <c r="H33"/>
  <c r="AJ32"/>
  <c r="H32"/>
  <c r="AJ31"/>
  <c r="H31"/>
  <c r="AJ30"/>
  <c r="H30"/>
  <c r="AJ29"/>
  <c r="H29"/>
  <c r="AJ28"/>
  <c r="H28"/>
  <c r="AJ27"/>
  <c r="H27"/>
  <c r="AJ26"/>
  <c r="H26"/>
  <c r="AJ25"/>
  <c r="H25"/>
  <c r="AJ24"/>
  <c r="H24"/>
  <c r="AJ23"/>
  <c r="H23"/>
  <c r="AJ22"/>
  <c r="H22"/>
  <c r="AJ21"/>
  <c r="H21"/>
  <c r="AJ20"/>
  <c r="H20"/>
  <c r="AJ19"/>
  <c r="H19"/>
  <c r="AJ18"/>
  <c r="H18"/>
  <c r="AJ17"/>
  <c r="H17"/>
  <c r="AJ16"/>
  <c r="H16"/>
  <c r="AJ15"/>
  <c r="H15"/>
  <c r="AJ14"/>
  <c r="H14"/>
  <c r="AJ13"/>
  <c r="H13"/>
  <c r="AJ12"/>
  <c r="H12"/>
  <c r="AJ11"/>
  <c r="H11"/>
  <c r="AJ10"/>
  <c r="H10"/>
  <c r="AJ9"/>
  <c r="H9"/>
  <c r="AJ8"/>
  <c r="H8"/>
  <c r="AJ7"/>
  <c r="H7"/>
  <c r="AJ6"/>
  <c r="H6"/>
  <c r="AJ5"/>
  <c r="H5"/>
  <c r="AJ4"/>
  <c r="N22" l="1"/>
  <c r="O21"/>
  <c r="D17" i="23"/>
  <c r="E17" s="1"/>
  <c r="H4" i="2"/>
  <c r="G17" i="23" s="1"/>
  <c r="P3" i="2"/>
  <c r="N23" l="1"/>
  <c r="O22"/>
  <c r="F17" i="23"/>
  <c r="H17" s="1"/>
  <c r="L9" i="1"/>
  <c r="K6"/>
  <c r="I9" i="7" l="1"/>
  <c r="S12" i="6" s="1"/>
  <c r="F10" i="7"/>
  <c r="N10"/>
  <c r="K11"/>
  <c r="H12"/>
  <c r="P12"/>
  <c r="M13"/>
  <c r="J14"/>
  <c r="G15"/>
  <c r="K18" i="6" s="1"/>
  <c r="O15" i="7"/>
  <c r="L16"/>
  <c r="I17"/>
  <c r="F18"/>
  <c r="N18"/>
  <c r="K19"/>
  <c r="AA22" i="6" s="1"/>
  <c r="AD22" s="1"/>
  <c r="H20" i="7"/>
  <c r="P20"/>
  <c r="AU23" i="6" s="1"/>
  <c r="M21" i="7"/>
  <c r="AI24" i="6" s="1"/>
  <c r="J22" i="7"/>
  <c r="G23"/>
  <c r="K26" i="6" s="1"/>
  <c r="O23" i="7"/>
  <c r="L24"/>
  <c r="I25"/>
  <c r="F26"/>
  <c r="G29" i="6" s="1"/>
  <c r="J29" s="1"/>
  <c r="N26" i="7"/>
  <c r="AM29" i="6" s="1"/>
  <c r="K27" i="7"/>
  <c r="AA30" i="6" s="1"/>
  <c r="AD30" s="1"/>
  <c r="H28" i="7"/>
  <c r="P28"/>
  <c r="M29"/>
  <c r="J30"/>
  <c r="G31"/>
  <c r="O31"/>
  <c r="L32"/>
  <c r="AE35" i="6" s="1"/>
  <c r="I33" i="7"/>
  <c r="S36" i="6" s="1"/>
  <c r="F34" i="7"/>
  <c r="N34"/>
  <c r="K35"/>
  <c r="H36"/>
  <c r="P36"/>
  <c r="M37"/>
  <c r="J38"/>
  <c r="W41" i="6" s="1"/>
  <c r="G39" i="7"/>
  <c r="K42" i="6" s="1"/>
  <c r="O39" i="7"/>
  <c r="L40"/>
  <c r="I41"/>
  <c r="F42"/>
  <c r="N42"/>
  <c r="K43"/>
  <c r="H44"/>
  <c r="P44"/>
  <c r="M45"/>
  <c r="J46"/>
  <c r="G47"/>
  <c r="O47"/>
  <c r="L48"/>
  <c r="I49"/>
  <c r="F50"/>
  <c r="N50"/>
  <c r="AM53" i="6" s="1"/>
  <c r="K51" i="7"/>
  <c r="H52"/>
  <c r="P52"/>
  <c r="M53"/>
  <c r="J54"/>
  <c r="G55"/>
  <c r="O55"/>
  <c r="AQ58" i="6" s="1"/>
  <c r="L56" i="7"/>
  <c r="AE59" i="6" s="1"/>
  <c r="I57" i="7"/>
  <c r="P8"/>
  <c r="H8"/>
  <c r="H9"/>
  <c r="P9"/>
  <c r="M10"/>
  <c r="J11"/>
  <c r="W14" i="6" s="1"/>
  <c r="G12" i="7"/>
  <c r="K15" i="6" s="1"/>
  <c r="O12" i="7"/>
  <c r="L13"/>
  <c r="AE16" i="6" s="1"/>
  <c r="I14" i="7"/>
  <c r="S17" i="6" s="1"/>
  <c r="F15" i="7"/>
  <c r="N15"/>
  <c r="AM18" i="6" s="1"/>
  <c r="K16" i="7"/>
  <c r="AA19" i="6" s="1"/>
  <c r="AD19" s="1"/>
  <c r="H17" i="7"/>
  <c r="O20" i="6" s="1"/>
  <c r="P17" i="7"/>
  <c r="AU20" i="6" s="1"/>
  <c r="M18" i="7"/>
  <c r="AI21" i="6" s="1"/>
  <c r="J19" i="7"/>
  <c r="G20"/>
  <c r="O20"/>
  <c r="L21"/>
  <c r="I22"/>
  <c r="S25" i="6" s="1"/>
  <c r="F23" i="7"/>
  <c r="N23"/>
  <c r="AM26" i="6" s="1"/>
  <c r="K24" i="7"/>
  <c r="AA27" i="6" s="1"/>
  <c r="AD27" s="1"/>
  <c r="H25" i="7"/>
  <c r="O28" i="6" s="1"/>
  <c r="P25" i="7"/>
  <c r="M26"/>
  <c r="J27"/>
  <c r="W30" i="6" s="1"/>
  <c r="G28" i="7"/>
  <c r="O28"/>
  <c r="AQ31" i="6" s="1"/>
  <c r="L29" i="7"/>
  <c r="AE32" i="6" s="1"/>
  <c r="I30" i="7"/>
  <c r="F31"/>
  <c r="N31"/>
  <c r="K32"/>
  <c r="H33"/>
  <c r="P33"/>
  <c r="M34"/>
  <c r="AI37" i="6" s="1"/>
  <c r="J35" i="7"/>
  <c r="G36"/>
  <c r="O36"/>
  <c r="L37"/>
  <c r="I38"/>
  <c r="F39"/>
  <c r="N39"/>
  <c r="K40"/>
  <c r="AA43" i="6" s="1"/>
  <c r="AD43" s="1"/>
  <c r="H41" i="7"/>
  <c r="O44" i="6" s="1"/>
  <c r="P41" i="7"/>
  <c r="M42"/>
  <c r="J43"/>
  <c r="G44"/>
  <c r="O44"/>
  <c r="L45"/>
  <c r="I46"/>
  <c r="S49" i="6" s="1"/>
  <c r="F47" i="7"/>
  <c r="N47"/>
  <c r="K48"/>
  <c r="H49"/>
  <c r="P49"/>
  <c r="M50"/>
  <c r="J51"/>
  <c r="G52"/>
  <c r="K55" i="6" s="1"/>
  <c r="O52" i="7"/>
  <c r="AQ55" i="6" s="1"/>
  <c r="L53" i="7"/>
  <c r="I54"/>
  <c r="F55"/>
  <c r="N55"/>
  <c r="K56"/>
  <c r="H57"/>
  <c r="P57"/>
  <c r="AU60" i="6" s="1"/>
  <c r="I8" i="7"/>
  <c r="S11" i="6" s="1"/>
  <c r="G9" i="7"/>
  <c r="O9"/>
  <c r="L10"/>
  <c r="I11"/>
  <c r="S14" i="6" s="1"/>
  <c r="F12" i="7"/>
  <c r="N12"/>
  <c r="AM15" i="6" s="1"/>
  <c r="K13" i="7"/>
  <c r="AA16" i="6" s="1"/>
  <c r="AD16" s="1"/>
  <c r="H14" i="7"/>
  <c r="O17" i="6" s="1"/>
  <c r="P14" i="7"/>
  <c r="M15"/>
  <c r="J16"/>
  <c r="W19" i="6" s="1"/>
  <c r="G17" i="7"/>
  <c r="O17"/>
  <c r="L18"/>
  <c r="I19"/>
  <c r="S22" i="6" s="1"/>
  <c r="F20" i="7"/>
  <c r="N20"/>
  <c r="K21"/>
  <c r="H22"/>
  <c r="O25" i="6" s="1"/>
  <c r="P22" i="7"/>
  <c r="M23"/>
  <c r="AI26" i="6" s="1"/>
  <c r="J24" i="7"/>
  <c r="W27" i="6" s="1"/>
  <c r="G25" i="7"/>
  <c r="K28" i="6" s="1"/>
  <c r="O25" i="7"/>
  <c r="AQ28" i="6" s="1"/>
  <c r="L26" i="7"/>
  <c r="I27"/>
  <c r="S30" i="6" s="1"/>
  <c r="F28" i="7"/>
  <c r="G31" i="6" s="1"/>
  <c r="J31" s="1"/>
  <c r="N28" i="7"/>
  <c r="K29"/>
  <c r="H30"/>
  <c r="P30"/>
  <c r="AU33" i="6" s="1"/>
  <c r="M31" i="7"/>
  <c r="AI34" i="6" s="1"/>
  <c r="J32" i="7"/>
  <c r="W35" i="6" s="1"/>
  <c r="G33" i="7"/>
  <c r="O33"/>
  <c r="L34"/>
  <c r="I35"/>
  <c r="F36"/>
  <c r="N36"/>
  <c r="AM39" i="6" s="1"/>
  <c r="K37" i="7"/>
  <c r="AA40" i="6" s="1"/>
  <c r="AD40" s="1"/>
  <c r="H38" i="7"/>
  <c r="O41" i="6" s="1"/>
  <c r="P38" i="7"/>
  <c r="M39"/>
  <c r="J40"/>
  <c r="G41"/>
  <c r="K44" i="6" s="1"/>
  <c r="O41" i="7"/>
  <c r="L42"/>
  <c r="AE45" i="6" s="1"/>
  <c r="I43" i="7"/>
  <c r="F44"/>
  <c r="N44"/>
  <c r="K45"/>
  <c r="H46"/>
  <c r="P46"/>
  <c r="M47"/>
  <c r="J48"/>
  <c r="W51" i="6" s="1"/>
  <c r="G49" i="7"/>
  <c r="K52" i="6" s="1"/>
  <c r="O49" i="7"/>
  <c r="L50"/>
  <c r="I51"/>
  <c r="F52"/>
  <c r="N52"/>
  <c r="K53"/>
  <c r="H54"/>
  <c r="O57" i="6" s="1"/>
  <c r="P54" i="7"/>
  <c r="AU57" i="6" s="1"/>
  <c r="M55" i="7"/>
  <c r="J56"/>
  <c r="G57"/>
  <c r="O57"/>
  <c r="J8"/>
  <c r="W11" i="6" s="1"/>
  <c r="F9" i="7"/>
  <c r="G12" i="6" s="1"/>
  <c r="J12" s="1"/>
  <c r="N9" i="7"/>
  <c r="AM12" i="6" s="1"/>
  <c r="K10" i="7"/>
  <c r="AA13" i="6" s="1"/>
  <c r="AD13" s="1"/>
  <c r="H11" i="7"/>
  <c r="P11"/>
  <c r="M12"/>
  <c r="J13"/>
  <c r="G14"/>
  <c r="K17" i="6" s="1"/>
  <c r="O14" i="7"/>
  <c r="L15"/>
  <c r="AE18" i="6" s="1"/>
  <c r="I16" i="7"/>
  <c r="S19" i="6" s="1"/>
  <c r="F17" i="7"/>
  <c r="G20" i="6" s="1"/>
  <c r="J20" s="1"/>
  <c r="N17" i="7"/>
  <c r="K18"/>
  <c r="H19"/>
  <c r="O22" i="6" s="1"/>
  <c r="P19" i="7"/>
  <c r="M20"/>
  <c r="J21"/>
  <c r="W24" i="6" s="1"/>
  <c r="G22" i="7"/>
  <c r="K25" i="6" s="1"/>
  <c r="O22" i="7"/>
  <c r="L23"/>
  <c r="AE26" i="6" s="1"/>
  <c r="I24" i="7"/>
  <c r="F25"/>
  <c r="G28" i="6" s="1"/>
  <c r="J28" s="1"/>
  <c r="N25" i="7"/>
  <c r="AM28" i="6" s="1"/>
  <c r="K26" i="7"/>
  <c r="AA29" i="6" s="1"/>
  <c r="AD29" s="1"/>
  <c r="H27" i="7"/>
  <c r="O30" i="6" s="1"/>
  <c r="P27" i="7"/>
  <c r="AU30" i="6" s="1"/>
  <c r="M28" i="7"/>
  <c r="AI31" i="6" s="1"/>
  <c r="J29" i="7"/>
  <c r="W32" i="6" s="1"/>
  <c r="G30" i="7"/>
  <c r="O30"/>
  <c r="L31"/>
  <c r="I32"/>
  <c r="F33"/>
  <c r="N33"/>
  <c r="AM36" i="6" s="1"/>
  <c r="K34" i="7"/>
  <c r="H35"/>
  <c r="P35"/>
  <c r="M36"/>
  <c r="J37"/>
  <c r="W40" i="6" s="1"/>
  <c r="G38" i="7"/>
  <c r="O38"/>
  <c r="AQ41" i="6" s="1"/>
  <c r="L39" i="7"/>
  <c r="AE42" i="6" s="1"/>
  <c r="I40" i="7"/>
  <c r="F41"/>
  <c r="G44" i="6" s="1"/>
  <c r="J44" s="1"/>
  <c r="N41" i="7"/>
  <c r="K42"/>
  <c r="H43"/>
  <c r="P43"/>
  <c r="M44"/>
  <c r="AI47" i="6" s="1"/>
  <c r="J45" i="7"/>
  <c r="W48" i="6" s="1"/>
  <c r="G46" i="7"/>
  <c r="O46"/>
  <c r="L47"/>
  <c r="I48"/>
  <c r="F49"/>
  <c r="N49"/>
  <c r="K50"/>
  <c r="AA53" i="6" s="1"/>
  <c r="AD53" s="1"/>
  <c r="H51" i="7"/>
  <c r="O54" i="6" s="1"/>
  <c r="P51" i="7"/>
  <c r="M52"/>
  <c r="J53"/>
  <c r="G54"/>
  <c r="O54"/>
  <c r="L55"/>
  <c r="I56"/>
  <c r="S59" i="6" s="1"/>
  <c r="F57" i="7"/>
  <c r="N57"/>
  <c r="K8"/>
  <c r="M9"/>
  <c r="J10"/>
  <c r="W13" i="6" s="1"/>
  <c r="G11" i="7"/>
  <c r="K14" i="6" s="1"/>
  <c r="O11" i="7"/>
  <c r="L12"/>
  <c r="AE15" i="6" s="1"/>
  <c r="I13" i="7"/>
  <c r="S16" i="6" s="1"/>
  <c r="F14" i="7"/>
  <c r="G17" i="6" s="1"/>
  <c r="J17" s="1"/>
  <c r="N14" i="7"/>
  <c r="K15"/>
  <c r="H16"/>
  <c r="O19" i="6" s="1"/>
  <c r="P16" i="7"/>
  <c r="M17"/>
  <c r="AI20" i="6" s="1"/>
  <c r="J18" i="7"/>
  <c r="W21" i="6" s="1"/>
  <c r="G19" i="7"/>
  <c r="K22" i="6" s="1"/>
  <c r="O19" i="7"/>
  <c r="L20"/>
  <c r="I21"/>
  <c r="F22"/>
  <c r="N22"/>
  <c r="AM25" i="6" s="1"/>
  <c r="K23" i="7"/>
  <c r="AA26" i="6" s="1"/>
  <c r="AD26" s="1"/>
  <c r="H24" i="7"/>
  <c r="O27" i="6" s="1"/>
  <c r="P24" i="7"/>
  <c r="AU27" i="6" s="1"/>
  <c r="M25" i="7"/>
  <c r="J26"/>
  <c r="G27"/>
  <c r="K30" i="6" s="1"/>
  <c r="O27" i="7"/>
  <c r="L28"/>
  <c r="AE31" i="6" s="1"/>
  <c r="I29" i="7"/>
  <c r="F30"/>
  <c r="N30"/>
  <c r="AM33" i="6" s="1"/>
  <c r="K31" i="7"/>
  <c r="H32"/>
  <c r="P32"/>
  <c r="M33"/>
  <c r="J34"/>
  <c r="W37" i="6" s="1"/>
  <c r="G35" i="7"/>
  <c r="O35"/>
  <c r="AQ38" i="6" s="1"/>
  <c r="L36" i="7"/>
  <c r="AE39" i="6" s="1"/>
  <c r="I37" i="7"/>
  <c r="F38"/>
  <c r="G41" i="6" s="1"/>
  <c r="J41" s="1"/>
  <c r="N38" i="7"/>
  <c r="K39"/>
  <c r="AA42" i="6" s="1"/>
  <c r="AD42" s="1"/>
  <c r="H40" i="7"/>
  <c r="P40"/>
  <c r="M41"/>
  <c r="AI44" i="6" s="1"/>
  <c r="J42" i="7"/>
  <c r="W45" i="6" s="1"/>
  <c r="G43" i="7"/>
  <c r="O43"/>
  <c r="L44"/>
  <c r="I45"/>
  <c r="F46"/>
  <c r="N46"/>
  <c r="K47"/>
  <c r="AA50" i="6" s="1"/>
  <c r="AD50" s="1"/>
  <c r="H48" i="7"/>
  <c r="O51" i="6" s="1"/>
  <c r="P48" i="7"/>
  <c r="M49"/>
  <c r="J50"/>
  <c r="G51"/>
  <c r="O51"/>
  <c r="L52"/>
  <c r="I53"/>
  <c r="S56" i="6" s="1"/>
  <c r="F54" i="7"/>
  <c r="N54"/>
  <c r="K55"/>
  <c r="H56"/>
  <c r="P56"/>
  <c r="M57"/>
  <c r="L8"/>
  <c r="AE11" i="6" s="1"/>
  <c r="L9" i="7"/>
  <c r="AE12" i="6" s="1"/>
  <c r="I10" i="7"/>
  <c r="S13" i="6" s="1"/>
  <c r="F11" i="7"/>
  <c r="G14" i="6" s="1"/>
  <c r="J14" s="1"/>
  <c r="N11" i="7"/>
  <c r="K12"/>
  <c r="H13"/>
  <c r="O16" i="6" s="1"/>
  <c r="P13" i="7"/>
  <c r="M14"/>
  <c r="AI17" i="6" s="1"/>
  <c r="J15" i="7"/>
  <c r="W18" i="6" s="1"/>
  <c r="G16" i="7"/>
  <c r="K19" i="6" s="1"/>
  <c r="O16" i="7"/>
  <c r="L17"/>
  <c r="AE20" i="6" s="1"/>
  <c r="I18" i="7"/>
  <c r="S21" i="6" s="1"/>
  <c r="F19" i="7"/>
  <c r="N19"/>
  <c r="K20"/>
  <c r="AA23" i="6" s="1"/>
  <c r="AD23" s="1"/>
  <c r="H21" i="7"/>
  <c r="O24" i="6" s="1"/>
  <c r="P21" i="7"/>
  <c r="AU24" i="6" s="1"/>
  <c r="M22" i="7"/>
  <c r="AI25" i="6" s="1"/>
  <c r="J23" i="7"/>
  <c r="W26" i="6" s="1"/>
  <c r="G24" i="7"/>
  <c r="O24"/>
  <c r="L25"/>
  <c r="AE28" i="6" s="1"/>
  <c r="I26" i="7"/>
  <c r="S29" i="6" s="1"/>
  <c r="F27" i="7"/>
  <c r="N27"/>
  <c r="AM30" i="6" s="1"/>
  <c r="K28" i="7"/>
  <c r="AA31" i="6" s="1"/>
  <c r="AD31" s="1"/>
  <c r="H29" i="7"/>
  <c r="O32" i="6" s="1"/>
  <c r="P29" i="7"/>
  <c r="M30"/>
  <c r="AI33" i="6" s="1"/>
  <c r="J31" i="7"/>
  <c r="W34" i="6" s="1"/>
  <c r="G32" i="7"/>
  <c r="K35" i="6" s="1"/>
  <c r="O32" i="7"/>
  <c r="AQ35" i="6" s="1"/>
  <c r="L33" i="7"/>
  <c r="AE36" i="6" s="1"/>
  <c r="I34" i="7"/>
  <c r="S37" i="6" s="1"/>
  <c r="F35" i="7"/>
  <c r="G38" i="6" s="1"/>
  <c r="J38" s="1"/>
  <c r="N35" i="7"/>
  <c r="AM38" i="6" s="1"/>
  <c r="K36" i="7"/>
  <c r="AA39" i="6" s="1"/>
  <c r="AD39" s="1"/>
  <c r="H37" i="7"/>
  <c r="O40" i="6" s="1"/>
  <c r="P37" i="7"/>
  <c r="M38"/>
  <c r="AI41" i="6" s="1"/>
  <c r="J39" i="7"/>
  <c r="W42" i="6" s="1"/>
  <c r="G40" i="7"/>
  <c r="K43" i="6" s="1"/>
  <c r="O40" i="7"/>
  <c r="L41"/>
  <c r="I42"/>
  <c r="F43"/>
  <c r="G46" i="6" s="1"/>
  <c r="J46" s="1"/>
  <c r="N43" i="7"/>
  <c r="AM46" i="6" s="1"/>
  <c r="K44" i="7"/>
  <c r="AA47" i="6" s="1"/>
  <c r="AD47" s="1"/>
  <c r="H45" i="7"/>
  <c r="P45"/>
  <c r="M46"/>
  <c r="J47"/>
  <c r="G48"/>
  <c r="O48"/>
  <c r="L49"/>
  <c r="I50"/>
  <c r="S53" i="6" s="1"/>
  <c r="F51" i="7"/>
  <c r="N51"/>
  <c r="K52"/>
  <c r="H53"/>
  <c r="P53"/>
  <c r="M54"/>
  <c r="J55"/>
  <c r="G56"/>
  <c r="K59" i="6" s="1"/>
  <c r="O56" i="7"/>
  <c r="AQ59" i="6" s="1"/>
  <c r="L57" i="7"/>
  <c r="M8"/>
  <c r="AI11" i="6" s="1"/>
  <c r="K9" i="7"/>
  <c r="AA12" i="6" s="1"/>
  <c r="AD12" s="1"/>
  <c r="H10" i="7"/>
  <c r="O13" i="6" s="1"/>
  <c r="P10" i="7"/>
  <c r="M11"/>
  <c r="AI14" i="6" s="1"/>
  <c r="J12" i="7"/>
  <c r="W15" i="6" s="1"/>
  <c r="G13" i="7"/>
  <c r="K16" i="6" s="1"/>
  <c r="O13" i="7"/>
  <c r="L14"/>
  <c r="AE17" i="6" s="1"/>
  <c r="I15" i="7"/>
  <c r="F16"/>
  <c r="N16"/>
  <c r="AM19" i="6" s="1"/>
  <c r="K17" i="7"/>
  <c r="AA20" i="6" s="1"/>
  <c r="AD20" s="1"/>
  <c r="H18" i="7"/>
  <c r="O21" i="6" s="1"/>
  <c r="P18" i="7"/>
  <c r="AU21" i="6" s="1"/>
  <c r="M19" i="7"/>
  <c r="AI22" i="6" s="1"/>
  <c r="J20" i="7"/>
  <c r="W23" i="6" s="1"/>
  <c r="G21" i="7"/>
  <c r="O21"/>
  <c r="L22"/>
  <c r="AE25" i="6" s="1"/>
  <c r="I23" i="7"/>
  <c r="S26" i="6" s="1"/>
  <c r="F24" i="7"/>
  <c r="N24"/>
  <c r="AM27" i="6" s="1"/>
  <c r="K25" i="7"/>
  <c r="AA28" i="6" s="1"/>
  <c r="AD28" s="1"/>
  <c r="H26" i="7"/>
  <c r="O29" i="6" s="1"/>
  <c r="P26" i="7"/>
  <c r="M27"/>
  <c r="AI30" i="6" s="1"/>
  <c r="J28" i="7"/>
  <c r="W31" i="6" s="1"/>
  <c r="G29" i="7"/>
  <c r="O29"/>
  <c r="AQ32" i="6" s="1"/>
  <c r="L30" i="7"/>
  <c r="AE33" i="6" s="1"/>
  <c r="I31" i="7"/>
  <c r="S34" i="6" s="1"/>
  <c r="F32" i="7"/>
  <c r="N32"/>
  <c r="K33"/>
  <c r="AA36" i="6" s="1"/>
  <c r="AD36" s="1"/>
  <c r="H34" i="7"/>
  <c r="P34"/>
  <c r="M35"/>
  <c r="AI38" i="6" s="1"/>
  <c r="J36" i="7"/>
  <c r="W39" i="6" s="1"/>
  <c r="G37" i="7"/>
  <c r="O37"/>
  <c r="L38"/>
  <c r="I39"/>
  <c r="F40"/>
  <c r="G43" i="6" s="1"/>
  <c r="J43" s="1"/>
  <c r="N40" i="7"/>
  <c r="AM43" i="6" s="1"/>
  <c r="K41" i="7"/>
  <c r="AA44" i="6" s="1"/>
  <c r="AD44" s="1"/>
  <c r="H42" i="7"/>
  <c r="P42"/>
  <c r="M43"/>
  <c r="AI46" i="6" s="1"/>
  <c r="J44" i="7"/>
  <c r="G45"/>
  <c r="O45"/>
  <c r="L46"/>
  <c r="I47"/>
  <c r="S50" i="6" s="1"/>
  <c r="F48" i="7"/>
  <c r="N48"/>
  <c r="K49"/>
  <c r="H50"/>
  <c r="P50"/>
  <c r="M51"/>
  <c r="J52"/>
  <c r="G53"/>
  <c r="K56" i="6" s="1"/>
  <c r="O53" i="7"/>
  <c r="AQ56" i="6" s="1"/>
  <c r="L54" i="7"/>
  <c r="I55"/>
  <c r="F56"/>
  <c r="N56"/>
  <c r="K57"/>
  <c r="N8"/>
  <c r="AM11" i="6" s="1"/>
  <c r="F8" i="7"/>
  <c r="J9"/>
  <c r="W12" i="6" s="1"/>
  <c r="G10" i="7"/>
  <c r="K13" i="6" s="1"/>
  <c r="O10" i="7"/>
  <c r="L11"/>
  <c r="AE14" i="6" s="1"/>
  <c r="I12" i="7"/>
  <c r="S15" i="6" s="1"/>
  <c r="F13" i="7"/>
  <c r="G16" i="6" s="1"/>
  <c r="J16" s="1"/>
  <c r="N13" i="7"/>
  <c r="AM16" i="6" s="1"/>
  <c r="K14" i="7"/>
  <c r="AA17" i="6" s="1"/>
  <c r="AD17" s="1"/>
  <c r="H15" i="7"/>
  <c r="O18" i="6" s="1"/>
  <c r="P15" i="7"/>
  <c r="AU18" i="6" s="1"/>
  <c r="M16" i="7"/>
  <c r="AI19" i="6" s="1"/>
  <c r="J17" i="7"/>
  <c r="W20" i="6" s="1"/>
  <c r="G18" i="7"/>
  <c r="K21" i="6" s="1"/>
  <c r="O18" i="7"/>
  <c r="L19"/>
  <c r="AE22" i="6" s="1"/>
  <c r="I20" i="7"/>
  <c r="S23" i="6" s="1"/>
  <c r="F21" i="7"/>
  <c r="N21"/>
  <c r="AM24" i="6" s="1"/>
  <c r="K22" i="7"/>
  <c r="AA25" i="6" s="1"/>
  <c r="AD25" s="1"/>
  <c r="H23" i="7"/>
  <c r="O26" i="6" s="1"/>
  <c r="P23" i="7"/>
  <c r="M24"/>
  <c r="AI27" i="6" s="1"/>
  <c r="J25" i="7"/>
  <c r="W28" i="6" s="1"/>
  <c r="G26" i="7"/>
  <c r="K29" i="6" s="1"/>
  <c r="O26" i="7"/>
  <c r="AQ29" i="6" s="1"/>
  <c r="L27" i="7"/>
  <c r="AE30" i="6" s="1"/>
  <c r="I28" i="7"/>
  <c r="S31" i="6" s="1"/>
  <c r="F29" i="7"/>
  <c r="N29"/>
  <c r="AM32" i="6" s="1"/>
  <c r="K30" i="7"/>
  <c r="AA33" i="6" s="1"/>
  <c r="AD33" s="1"/>
  <c r="H31" i="7"/>
  <c r="O34" i="6" s="1"/>
  <c r="P31" i="7"/>
  <c r="AU34" i="6" s="1"/>
  <c r="M32" i="7"/>
  <c r="AI35" i="6" s="1"/>
  <c r="J33" i="7"/>
  <c r="W36" i="6" s="1"/>
  <c r="G34" i="7"/>
  <c r="K37" i="6" s="1"/>
  <c r="O34" i="7"/>
  <c r="L35"/>
  <c r="I36"/>
  <c r="F37"/>
  <c r="G40" i="6" s="1"/>
  <c r="J40" s="1"/>
  <c r="N37" i="7"/>
  <c r="AM40" i="6" s="1"/>
  <c r="K38" i="7"/>
  <c r="AA41" i="6" s="1"/>
  <c r="AD41" s="1"/>
  <c r="H39" i="7"/>
  <c r="O42" i="6" s="1"/>
  <c r="P39" i="7"/>
  <c r="M40"/>
  <c r="J41"/>
  <c r="W44" i="6" s="1"/>
  <c r="G42" i="7"/>
  <c r="O42"/>
  <c r="L43"/>
  <c r="AE46" i="6" s="1"/>
  <c r="I44" i="7"/>
  <c r="S47" i="6" s="1"/>
  <c r="F45" i="7"/>
  <c r="N45"/>
  <c r="K46"/>
  <c r="AA49" i="6" s="1"/>
  <c r="AD49" s="1"/>
  <c r="H47" i="7"/>
  <c r="P47"/>
  <c r="M48"/>
  <c r="J49"/>
  <c r="W52" i="6" s="1"/>
  <c r="G50" i="7"/>
  <c r="K53" i="6" s="1"/>
  <c r="O50" i="7"/>
  <c r="AQ53" i="6" s="1"/>
  <c r="L51" i="7"/>
  <c r="I52"/>
  <c r="F53"/>
  <c r="N53"/>
  <c r="K54"/>
  <c r="H55"/>
  <c r="O58" i="6" s="1"/>
  <c r="P55" i="7"/>
  <c r="M56"/>
  <c r="AI59" i="6" s="1"/>
  <c r="J57" i="7"/>
  <c r="O8"/>
  <c r="AQ11" i="6" s="1"/>
  <c r="G8" i="7"/>
  <c r="K11" i="6" s="1"/>
  <c r="N24" i="2"/>
  <c r="O23"/>
  <c r="AQ12" i="6"/>
  <c r="AU13"/>
  <c r="AX13" s="1"/>
  <c r="AU14"/>
  <c r="AU15"/>
  <c r="AQ17"/>
  <c r="AQ20"/>
  <c r="AQ21"/>
  <c r="AU22"/>
  <c r="AU26"/>
  <c r="AE29"/>
  <c r="AQ30"/>
  <c r="AA32"/>
  <c r="AD32" s="1"/>
  <c r="AQ34"/>
  <c r="AE41"/>
  <c r="AQ44"/>
  <c r="AM45"/>
  <c r="AA46"/>
  <c r="AD46" s="1"/>
  <c r="AM47"/>
  <c r="AI48"/>
  <c r="AQ49"/>
  <c r="AE50"/>
  <c r="K51"/>
  <c r="AI51"/>
  <c r="AA52"/>
  <c r="AD52" s="1"/>
  <c r="AQ52"/>
  <c r="AE53"/>
  <c r="AU53"/>
  <c r="AE54"/>
  <c r="O55"/>
  <c r="AE55"/>
  <c r="O56"/>
  <c r="AE56"/>
  <c r="K57"/>
  <c r="AA57"/>
  <c r="AD57" s="1"/>
  <c r="AQ57"/>
  <c r="W58"/>
  <c r="AM58"/>
  <c r="S60"/>
  <c r="AI60"/>
  <c r="AU56"/>
  <c r="AU51"/>
  <c r="AU46"/>
  <c r="AU40"/>
  <c r="AQ50"/>
  <c r="AQ42"/>
  <c r="G32"/>
  <c r="J32" s="1"/>
  <c r="G45"/>
  <c r="J45" s="1"/>
  <c r="G58"/>
  <c r="J58" s="1"/>
  <c r="AU47"/>
  <c r="AQ43"/>
  <c r="G52"/>
  <c r="J52" s="1"/>
  <c r="AU49"/>
  <c r="G55"/>
  <c r="J55" s="1"/>
  <c r="AQ13"/>
  <c r="AQ14"/>
  <c r="AQ15"/>
  <c r="AI18"/>
  <c r="AU19"/>
  <c r="AE21"/>
  <c r="AQ22"/>
  <c r="AQ23"/>
  <c r="AQ24"/>
  <c r="AU25"/>
  <c r="AQ26"/>
  <c r="AQ27"/>
  <c r="AU31"/>
  <c r="K33"/>
  <c r="AA35"/>
  <c r="AD35" s="1"/>
  <c r="AU36"/>
  <c r="AU37"/>
  <c r="AI39"/>
  <c r="K41"/>
  <c r="AU42"/>
  <c r="AI43"/>
  <c r="AM44"/>
  <c r="AI45"/>
  <c r="K46"/>
  <c r="AE48"/>
  <c r="AM49"/>
  <c r="AU50"/>
  <c r="AE51"/>
  <c r="S52"/>
  <c r="AM52"/>
  <c r="AA54"/>
  <c r="AD54" s="1"/>
  <c r="AA55"/>
  <c r="AD55" s="1"/>
  <c r="AA56"/>
  <c r="AD56" s="1"/>
  <c r="W57"/>
  <c r="AM57"/>
  <c r="S58"/>
  <c r="AI58"/>
  <c r="O59"/>
  <c r="O60"/>
  <c r="AE60"/>
  <c r="AU11"/>
  <c r="AU52"/>
  <c r="AU41"/>
  <c r="AQ51"/>
  <c r="G42"/>
  <c r="J42" s="1"/>
  <c r="G57"/>
  <c r="J57" s="1"/>
  <c r="AU44"/>
  <c r="AQ47"/>
  <c r="AM13"/>
  <c r="AI15"/>
  <c r="AU16"/>
  <c r="AQ19"/>
  <c r="AI23"/>
  <c r="AQ25"/>
  <c r="AU28"/>
  <c r="AU29"/>
  <c r="AU32"/>
  <c r="AQ36"/>
  <c r="AQ37"/>
  <c r="AQ40"/>
  <c r="AM41"/>
  <c r="AM42"/>
  <c r="AE43"/>
  <c r="AU45"/>
  <c r="AE47"/>
  <c r="AA48"/>
  <c r="AD48" s="1"/>
  <c r="AQ48"/>
  <c r="AI49"/>
  <c r="AM50"/>
  <c r="AA51"/>
  <c r="AD51" s="1"/>
  <c r="AI52"/>
  <c r="S54"/>
  <c r="AM54"/>
  <c r="W55"/>
  <c r="AM55"/>
  <c r="W56"/>
  <c r="AM56"/>
  <c r="S57"/>
  <c r="AI57"/>
  <c r="AE58"/>
  <c r="AA59"/>
  <c r="AD59" s="1"/>
  <c r="K60"/>
  <c r="AA60"/>
  <c r="AD60" s="1"/>
  <c r="AQ60"/>
  <c r="AU59"/>
  <c r="AU54"/>
  <c r="AU48"/>
  <c r="AU43"/>
  <c r="AU38"/>
  <c r="AQ54"/>
  <c r="AQ46"/>
  <c r="G49"/>
  <c r="J49" s="1"/>
  <c r="G56"/>
  <c r="J56" s="1"/>
  <c r="AA15"/>
  <c r="AD15" s="1"/>
  <c r="AU17"/>
  <c r="AA24"/>
  <c r="AD24" s="1"/>
  <c r="AE37"/>
  <c r="AI40"/>
  <c r="AI42"/>
  <c r="AA45"/>
  <c r="AD45" s="1"/>
  <c r="S48"/>
  <c r="AE49"/>
  <c r="AI50"/>
  <c r="AM51"/>
  <c r="K54"/>
  <c r="S55"/>
  <c r="AI55"/>
  <c r="AI56"/>
  <c r="AE57"/>
  <c r="AA58"/>
  <c r="AD58" s="1"/>
  <c r="W59"/>
  <c r="W60"/>
  <c r="AU39"/>
  <c r="G59"/>
  <c r="J59" s="1"/>
  <c r="AU12"/>
  <c r="AQ16"/>
  <c r="AQ18"/>
  <c r="AE27"/>
  <c r="AM31"/>
  <c r="AQ33"/>
  <c r="AU35"/>
  <c r="AQ45"/>
  <c r="AM48"/>
  <c r="K50"/>
  <c r="S51"/>
  <c r="AE52"/>
  <c r="AI53"/>
  <c r="AI54"/>
  <c r="K58"/>
  <c r="AU58"/>
  <c r="AM59"/>
  <c r="AM60"/>
  <c r="AU55"/>
  <c r="AQ39"/>
  <c r="AE40"/>
  <c r="AI13"/>
  <c r="AE24"/>
  <c r="AE44"/>
  <c r="S18"/>
  <c r="O23"/>
  <c r="K36"/>
  <c r="S38"/>
  <c r="W49"/>
  <c r="AA14"/>
  <c r="AD14" s="1"/>
  <c r="S27"/>
  <c r="O52"/>
  <c r="K39"/>
  <c r="O46"/>
  <c r="AA21"/>
  <c r="AD21" s="1"/>
  <c r="O11"/>
  <c r="S20"/>
  <c r="K34"/>
  <c r="AA38"/>
  <c r="AD38" s="1"/>
  <c r="O53"/>
  <c r="O33"/>
  <c r="G35"/>
  <c r="J35" s="1"/>
  <c r="G19"/>
  <c r="J19" s="1"/>
  <c r="M7" i="24"/>
  <c r="I7"/>
  <c r="N7"/>
  <c r="J7"/>
  <c r="F7"/>
  <c r="AA34" i="6"/>
  <c r="AD34" s="1"/>
  <c r="W47"/>
  <c r="G22"/>
  <c r="J22" s="1"/>
  <c r="G47"/>
  <c r="J47" s="1"/>
  <c r="G25"/>
  <c r="J25" s="1"/>
  <c r="P7" i="24"/>
  <c r="H7"/>
  <c r="AA37" i="6"/>
  <c r="AD37" s="1"/>
  <c r="W54"/>
  <c r="W22"/>
  <c r="AE13"/>
  <c r="AM17"/>
  <c r="K20"/>
  <c r="W25"/>
  <c r="W33"/>
  <c r="AM37"/>
  <c r="K40"/>
  <c r="K48"/>
  <c r="AM34"/>
  <c r="W46"/>
  <c r="AE38"/>
  <c r="S41"/>
  <c r="S45"/>
  <c r="W38"/>
  <c r="W16"/>
  <c r="AI29"/>
  <c r="O14"/>
  <c r="AI16"/>
  <c r="AI28"/>
  <c r="AI32"/>
  <c r="AM35"/>
  <c r="K38"/>
  <c r="S40"/>
  <c r="S44"/>
  <c r="O7" i="24"/>
  <c r="K7"/>
  <c r="G7"/>
  <c r="K12" i="6"/>
  <c r="AM23"/>
  <c r="AI36"/>
  <c r="G39"/>
  <c r="J39" s="1"/>
  <c r="L7" i="24"/>
  <c r="S35" i="6"/>
  <c r="S39"/>
  <c r="O15"/>
  <c r="W17"/>
  <c r="AE19"/>
  <c r="AM21"/>
  <c r="K24"/>
  <c r="K32"/>
  <c r="O35"/>
  <c r="O43"/>
  <c r="W53"/>
  <c r="S43"/>
  <c r="O12"/>
  <c r="K27"/>
  <c r="K31"/>
  <c r="O38"/>
  <c r="O36"/>
  <c r="K49"/>
  <c r="S33"/>
  <c r="AA18"/>
  <c r="AD18" s="1"/>
  <c r="S24"/>
  <c r="S28"/>
  <c r="S32"/>
  <c r="O37"/>
  <c r="W43"/>
  <c r="O49"/>
  <c r="G15"/>
  <c r="J15" s="1"/>
  <c r="G48"/>
  <c r="J48" s="1"/>
  <c r="G34"/>
  <c r="J34" s="1"/>
  <c r="G18"/>
  <c r="J18" s="1"/>
  <c r="G37"/>
  <c r="J37" s="1"/>
  <c r="G21"/>
  <c r="J21" s="1"/>
  <c r="AA11"/>
  <c r="AD11" s="1"/>
  <c r="AM22"/>
  <c r="W50"/>
  <c r="AI12"/>
  <c r="AM14"/>
  <c r="AE23"/>
  <c r="W29"/>
  <c r="O31"/>
  <c r="O39"/>
  <c r="S42"/>
  <c r="S46"/>
  <c r="AM20"/>
  <c r="AE34"/>
  <c r="K47"/>
  <c r="K45"/>
  <c r="K23"/>
  <c r="AF14" i="22"/>
  <c r="AW13" i="32"/>
  <c r="AW13" i="30"/>
  <c r="AW13" i="29"/>
  <c r="AW13" i="28"/>
  <c r="AW13" i="31"/>
  <c r="AW13" i="27"/>
  <c r="BG14" i="6"/>
  <c r="Z11" i="7"/>
  <c r="Q3" i="2"/>
  <c r="Q11" s="1"/>
  <c r="E11" s="1"/>
  <c r="D18" i="6" s="1"/>
  <c r="AT59" l="1"/>
  <c r="O57" i="24" s="1"/>
  <c r="G51"/>
  <c r="N53" i="6"/>
  <c r="AL59"/>
  <c r="M57" i="24" s="1"/>
  <c r="AT56" i="6"/>
  <c r="O54" i="24" s="1"/>
  <c r="AX21" i="6"/>
  <c r="P19" i="24" s="1"/>
  <c r="O51"/>
  <c r="AT53" i="6"/>
  <c r="AX18"/>
  <c r="P16" i="24" s="1"/>
  <c r="AT46" i="6"/>
  <c r="O44" i="24" s="1"/>
  <c r="N59" i="6"/>
  <c r="G57" i="24" s="1"/>
  <c r="AT38" i="6"/>
  <c r="O36" i="24" s="1"/>
  <c r="R57" i="6"/>
  <c r="H55" i="24" s="1"/>
  <c r="Z51" i="6"/>
  <c r="J49" i="24" s="1"/>
  <c r="AX33" i="6"/>
  <c r="P31" i="24" s="1"/>
  <c r="AX60" i="6"/>
  <c r="P58" i="24" s="1"/>
  <c r="N55" i="6"/>
  <c r="G53" i="24" s="1"/>
  <c r="AT31" i="6"/>
  <c r="O29" i="24" s="1"/>
  <c r="AT58" i="6"/>
  <c r="O56" i="24" s="1"/>
  <c r="AX23" i="6"/>
  <c r="P21" i="24" s="1"/>
  <c r="AX35" i="6"/>
  <c r="P33" i="24" s="1"/>
  <c r="P34"/>
  <c r="AX36" i="6"/>
  <c r="AT29"/>
  <c r="O27" i="24" s="1"/>
  <c r="AT28" i="6"/>
  <c r="O26" i="24" s="1"/>
  <c r="AT55" i="6"/>
  <c r="O53" i="24" s="1"/>
  <c r="P18"/>
  <c r="AX20" i="6"/>
  <c r="AH59"/>
  <c r="L57" i="24" s="1"/>
  <c r="AP53" i="6"/>
  <c r="N51" i="24" s="1"/>
  <c r="R54" i="7"/>
  <c r="R58" i="6"/>
  <c r="O30" i="24"/>
  <c r="AT32" i="6"/>
  <c r="V56"/>
  <c r="I54" i="24" s="1"/>
  <c r="AT24" i="6"/>
  <c r="O22" i="24" s="1"/>
  <c r="Z54" i="6"/>
  <c r="J52" i="24" s="1"/>
  <c r="P57"/>
  <c r="AX59" i="6"/>
  <c r="AT47"/>
  <c r="O45" i="24" s="1"/>
  <c r="AX25" i="6"/>
  <c r="P23" i="24" s="1"/>
  <c r="AT14" i="6"/>
  <c r="O12" i="24" s="1"/>
  <c r="AX56" i="6"/>
  <c r="P54" i="24" s="1"/>
  <c r="N57" i="6"/>
  <c r="G55" i="24" s="1"/>
  <c r="AT52" i="6"/>
  <c r="O50" i="24" s="1"/>
  <c r="AT30" i="6"/>
  <c r="O28" i="24" s="1"/>
  <c r="AX14" i="6"/>
  <c r="P12" i="24" s="1"/>
  <c r="Z50" i="6"/>
  <c r="J48" i="24" s="1"/>
  <c r="AX34" i="6"/>
  <c r="P32" i="24" s="1"/>
  <c r="AT41" i="6"/>
  <c r="O39" i="24" s="1"/>
  <c r="AX44" i="6"/>
  <c r="P42" i="24" s="1"/>
  <c r="AT13" i="6"/>
  <c r="O11" i="24" s="1"/>
  <c r="G60" i="6"/>
  <c r="J60" s="1"/>
  <c r="R57" i="7"/>
  <c r="AX28" i="6"/>
  <c r="P26" i="24" s="1"/>
  <c r="AP60" i="6"/>
  <c r="N58" i="24" s="1"/>
  <c r="AT16" i="6"/>
  <c r="O14" i="24" s="1"/>
  <c r="AX54" i="6"/>
  <c r="P52" i="24" s="1"/>
  <c r="V57" i="6"/>
  <c r="I55" i="24" s="1"/>
  <c r="AX29" i="6"/>
  <c r="P27" i="24" s="1"/>
  <c r="AX11" i="6"/>
  <c r="P9" i="24" s="1"/>
  <c r="P48"/>
  <c r="AX50" i="6"/>
  <c r="AT26"/>
  <c r="O24" i="24" s="1"/>
  <c r="AT15" i="6"/>
  <c r="O13" i="24" s="1"/>
  <c r="AX47" i="6"/>
  <c r="P45" i="24" s="1"/>
  <c r="AX51" i="6"/>
  <c r="P49" i="24" s="1"/>
  <c r="AH53" i="6"/>
  <c r="L51" i="24" s="1"/>
  <c r="AX15" i="6"/>
  <c r="P13" i="24" s="1"/>
  <c r="AX39" i="6"/>
  <c r="P37" i="24" s="1"/>
  <c r="Z52" i="6"/>
  <c r="J50" i="24" s="1"/>
  <c r="V59" i="6"/>
  <c r="I57" i="24" s="1"/>
  <c r="J54"/>
  <c r="Z56" i="6"/>
  <c r="AX37"/>
  <c r="P35" i="24" s="1"/>
  <c r="AH56" i="6"/>
  <c r="L54" i="24" s="1"/>
  <c r="N52" i="6"/>
  <c r="G50" i="24" s="1"/>
  <c r="G48"/>
  <c r="N50" i="6"/>
  <c r="AL56"/>
  <c r="M54" i="24" s="1"/>
  <c r="N48" i="6"/>
  <c r="G46" i="24" s="1"/>
  <c r="AX55" i="6"/>
  <c r="P53" i="24" s="1"/>
  <c r="O16"/>
  <c r="AT18" i="6"/>
  <c r="AH57"/>
  <c r="L55" i="24" s="1"/>
  <c r="AX17" i="6"/>
  <c r="P15" i="24" s="1"/>
  <c r="AX48" i="6"/>
  <c r="P46" i="24" s="1"/>
  <c r="M55"/>
  <c r="AL57" i="6"/>
  <c r="AX45"/>
  <c r="P43" i="24" s="1"/>
  <c r="AX32" i="6"/>
  <c r="P30" i="24" s="1"/>
  <c r="AX52" i="6"/>
  <c r="P50" i="24" s="1"/>
  <c r="J55"/>
  <c r="Z57" i="6"/>
  <c r="AH51"/>
  <c r="L49" i="24" s="1"/>
  <c r="AX42" i="6"/>
  <c r="P40" i="24" s="1"/>
  <c r="AT27" i="6"/>
  <c r="O25" i="24" s="1"/>
  <c r="P44"/>
  <c r="AX46" i="6"/>
  <c r="AT57"/>
  <c r="O55" i="24" s="1"/>
  <c r="AX53" i="6"/>
  <c r="P51" i="24" s="1"/>
  <c r="AT34" i="6"/>
  <c r="O32" i="24" s="1"/>
  <c r="O15"/>
  <c r="AT17" i="6"/>
  <c r="AT11"/>
  <c r="O9" i="24" s="1"/>
  <c r="R56" i="7"/>
  <c r="R55"/>
  <c r="N54" i="6"/>
  <c r="G52" i="24" s="1"/>
  <c r="I58"/>
  <c r="V60" i="6"/>
  <c r="AX58"/>
  <c r="P56" i="24" s="1"/>
  <c r="AL60" i="6"/>
  <c r="M58" i="24" s="1"/>
  <c r="AX24" i="6"/>
  <c r="P22" i="24" s="1"/>
  <c r="P25"/>
  <c r="AX27" i="6"/>
  <c r="AP59"/>
  <c r="N57" i="24" s="1"/>
  <c r="AX12" i="6"/>
  <c r="P10" i="24" s="1"/>
  <c r="AH60" i="6"/>
  <c r="L58" i="24" s="1"/>
  <c r="O37"/>
  <c r="AT39" i="6"/>
  <c r="AX43"/>
  <c r="P41" i="24" s="1"/>
  <c r="AH58" i="6"/>
  <c r="L56" i="24" s="1"/>
  <c r="AT36" i="6"/>
  <c r="O34" i="24" s="1"/>
  <c r="P14"/>
  <c r="AX16" i="6"/>
  <c r="AX41"/>
  <c r="P39" i="24" s="1"/>
  <c r="AP57" i="6"/>
  <c r="AY57" s="1"/>
  <c r="AX31"/>
  <c r="P29" i="24" s="1"/>
  <c r="P17"/>
  <c r="AX19" i="6"/>
  <c r="AT43"/>
  <c r="O41" i="24" s="1"/>
  <c r="AX40" i="6"/>
  <c r="P38" i="24" s="1"/>
  <c r="Z58" i="6"/>
  <c r="J56" i="24" s="1"/>
  <c r="L52"/>
  <c r="AH54" i="6"/>
  <c r="AT49"/>
  <c r="O47" i="24" s="1"/>
  <c r="AT20" i="6"/>
  <c r="O18" i="24" s="1"/>
  <c r="R53" i="7"/>
  <c r="N58" i="6"/>
  <c r="G56" i="24" s="1"/>
  <c r="AT23" i="6"/>
  <c r="O21" i="24" s="1"/>
  <c r="R56" i="6"/>
  <c r="H54" i="24" s="1"/>
  <c r="AT12" i="6"/>
  <c r="O10" i="24" s="1"/>
  <c r="N56" i="6"/>
  <c r="G54" i="24" s="1"/>
  <c r="AT45" i="6"/>
  <c r="O43" i="24" s="1"/>
  <c r="AX57" i="6"/>
  <c r="P55" i="24" s="1"/>
  <c r="AL55" i="6"/>
  <c r="M53" i="24" s="1"/>
  <c r="N54"/>
  <c r="AP56" i="6"/>
  <c r="AH52"/>
  <c r="L50" i="24" s="1"/>
  <c r="N49" i="6"/>
  <c r="G47" i="24" s="1"/>
  <c r="Z59" i="6"/>
  <c r="AX38"/>
  <c r="P36" i="24" s="1"/>
  <c r="AP54" i="6"/>
  <c r="N52" i="24" s="1"/>
  <c r="AT37" i="6"/>
  <c r="O35" i="24" s="1"/>
  <c r="AT51" i="6"/>
  <c r="O49" i="24" s="1"/>
  <c r="I56"/>
  <c r="V58" i="6"/>
  <c r="AT50"/>
  <c r="O48" i="24" s="1"/>
  <c r="AP58" i="6"/>
  <c r="N56" i="24" s="1"/>
  <c r="AH50" i="6"/>
  <c r="L48" i="24" s="1"/>
  <c r="O19"/>
  <c r="AT21" i="6"/>
  <c r="AP55"/>
  <c r="N53" i="24" s="1"/>
  <c r="R59" i="6"/>
  <c r="H57" i="24" s="1"/>
  <c r="AX26" i="6"/>
  <c r="P24" i="24" s="1"/>
  <c r="O33"/>
  <c r="AT35" i="6"/>
  <c r="O58" i="24"/>
  <c r="AT60" i="6"/>
  <c r="O23" i="24"/>
  <c r="AT25" i="6"/>
  <c r="R60"/>
  <c r="H58" i="24" s="1"/>
  <c r="P28"/>
  <c r="AX30" i="6"/>
  <c r="J51" i="24"/>
  <c r="Z53" i="6"/>
  <c r="O31" i="24"/>
  <c r="AT33" i="6"/>
  <c r="Z60"/>
  <c r="J58" i="24" s="1"/>
  <c r="O52"/>
  <c r="AT54" i="6"/>
  <c r="G58" i="24"/>
  <c r="N60" i="6"/>
  <c r="J53" i="24"/>
  <c r="Z55" i="6"/>
  <c r="AT48"/>
  <c r="O46" i="24" s="1"/>
  <c r="O38"/>
  <c r="AT40" i="6"/>
  <c r="O17" i="24"/>
  <c r="AT19" i="6"/>
  <c r="M56" i="24"/>
  <c r="AL58" i="6"/>
  <c r="AT22"/>
  <c r="O20" i="24" s="1"/>
  <c r="P47"/>
  <c r="AX49" i="6"/>
  <c r="O40" i="24"/>
  <c r="AT42" i="6"/>
  <c r="L53" i="24"/>
  <c r="AH55" i="6"/>
  <c r="N51"/>
  <c r="G49" i="24" s="1"/>
  <c r="O42"/>
  <c r="AT44" i="6"/>
  <c r="P20" i="24"/>
  <c r="AX22" i="6"/>
  <c r="V48"/>
  <c r="I46" i="24" s="1"/>
  <c r="V53" i="6"/>
  <c r="I51" i="24" s="1"/>
  <c r="V49" i="6"/>
  <c r="I47" i="24" s="1"/>
  <c r="V54" i="6"/>
  <c r="I52" i="24" s="1"/>
  <c r="V46" i="6"/>
  <c r="I44" i="24" s="1"/>
  <c r="V45" i="6"/>
  <c r="I43" i="24" s="1"/>
  <c r="V52" i="6"/>
  <c r="I50" i="24" s="1"/>
  <c r="V51" i="6"/>
  <c r="I49" i="24" s="1"/>
  <c r="V47" i="6"/>
  <c r="I45" i="24" s="1"/>
  <c r="V55" i="6"/>
  <c r="I53" i="24" s="1"/>
  <c r="V50" i="6"/>
  <c r="I48" i="24" s="1"/>
  <c r="AP52" i="6"/>
  <c r="N50" i="24" s="1"/>
  <c r="AP51" i="6"/>
  <c r="N49" i="24" s="1"/>
  <c r="Z48" i="6"/>
  <c r="J46" i="24" s="1"/>
  <c r="Z46" i="6"/>
  <c r="J44" i="24" s="1"/>
  <c r="Z49" i="6"/>
  <c r="J47" i="24" s="1"/>
  <c r="Z47" i="6"/>
  <c r="J45" i="24" s="1"/>
  <c r="R52" i="7"/>
  <c r="AZ56" i="6"/>
  <c r="AZ58"/>
  <c r="AP49"/>
  <c r="N47" i="24" s="1"/>
  <c r="AP50" i="6"/>
  <c r="N48" i="24" s="1"/>
  <c r="AL54" i="6"/>
  <c r="M52" i="24" s="1"/>
  <c r="AL48" i="6"/>
  <c r="M46" i="24" s="1"/>
  <c r="AL47" i="6"/>
  <c r="M45" i="24" s="1"/>
  <c r="AL50" i="6"/>
  <c r="M48" i="24" s="1"/>
  <c r="AL49" i="6"/>
  <c r="M47" i="24" s="1"/>
  <c r="R51" i="7"/>
  <c r="AL51" i="6"/>
  <c r="M49" i="24" s="1"/>
  <c r="AL52" i="6"/>
  <c r="M50" i="24" s="1"/>
  <c r="AL53" i="6"/>
  <c r="M51" i="24" s="1"/>
  <c r="R49" i="7"/>
  <c r="R47"/>
  <c r="O50" i="6"/>
  <c r="N46"/>
  <c r="G44" i="24" s="1"/>
  <c r="G45"/>
  <c r="N47" i="6"/>
  <c r="AP11"/>
  <c r="N9" i="24" s="1"/>
  <c r="AP43" i="6"/>
  <c r="N41" i="24" s="1"/>
  <c r="AP20" i="6"/>
  <c r="N18" i="24" s="1"/>
  <c r="AP22" i="6"/>
  <c r="N20" i="24" s="1"/>
  <c r="AP23" i="6"/>
  <c r="N21" i="24" s="1"/>
  <c r="AP34" i="6"/>
  <c r="N32" i="24" s="1"/>
  <c r="AP42" i="6"/>
  <c r="N40" i="24" s="1"/>
  <c r="AP40" i="6"/>
  <c r="N38" i="24" s="1"/>
  <c r="AP12" i="6"/>
  <c r="N10" i="24" s="1"/>
  <c r="AP29" i="6"/>
  <c r="N27" i="24" s="1"/>
  <c r="AP48" i="6"/>
  <c r="N46" i="24" s="1"/>
  <c r="AP47" i="6"/>
  <c r="N45" i="24" s="1"/>
  <c r="AP30" i="6"/>
  <c r="N28" i="24" s="1"/>
  <c r="AP33" i="6"/>
  <c r="N31" i="24" s="1"/>
  <c r="AP36" i="6"/>
  <c r="N34" i="24" s="1"/>
  <c r="AP35" i="6"/>
  <c r="N33" i="24" s="1"/>
  <c r="AP13" i="6"/>
  <c r="N11" i="24" s="1"/>
  <c r="AP28" i="6"/>
  <c r="N26" i="24" s="1"/>
  <c r="AP24" i="6"/>
  <c r="N22" i="24" s="1"/>
  <c r="AP44" i="6"/>
  <c r="N42" i="24" s="1"/>
  <c r="AP17" i="6"/>
  <c r="N15" i="24" s="1"/>
  <c r="AP21" i="6"/>
  <c r="N19" i="24" s="1"/>
  <c r="AP37" i="6"/>
  <c r="N35" i="24" s="1"/>
  <c r="AP31" i="6"/>
  <c r="N29" i="24" s="1"/>
  <c r="AP14" i="6"/>
  <c r="N12" i="24" s="1"/>
  <c r="AP39" i="6"/>
  <c r="N37" i="24" s="1"/>
  <c r="AP26" i="6"/>
  <c r="N24" i="24" s="1"/>
  <c r="AP18" i="6"/>
  <c r="N16" i="24" s="1"/>
  <c r="AP16" i="6"/>
  <c r="N14" i="24" s="1"/>
  <c r="AP32" i="6"/>
  <c r="N30" i="24" s="1"/>
  <c r="AP15" i="6"/>
  <c r="N13" i="24" s="1"/>
  <c r="AP25" i="6"/>
  <c r="N23" i="24" s="1"/>
  <c r="AP27" i="6"/>
  <c r="N25" i="24" s="1"/>
  <c r="AP46" i="6"/>
  <c r="N44" i="24" s="1"/>
  <c r="AP45" i="6"/>
  <c r="N43" i="24" s="1"/>
  <c r="AP38" i="6"/>
  <c r="N36" i="24" s="1"/>
  <c r="AP19" i="6"/>
  <c r="N17" i="24" s="1"/>
  <c r="AP41" i="6"/>
  <c r="N39" i="24" s="1"/>
  <c r="AL44" i="6"/>
  <c r="M42" i="24" s="1"/>
  <c r="AL45" i="6"/>
  <c r="M43" i="24" s="1"/>
  <c r="R40" i="7"/>
  <c r="AL46" i="6"/>
  <c r="M44" i="24" s="1"/>
  <c r="Z43" i="6"/>
  <c r="J41" i="24" s="1"/>
  <c r="Z42" i="6"/>
  <c r="J40" i="24" s="1"/>
  <c r="Z45" i="6"/>
  <c r="J43" i="24" s="1"/>
  <c r="Z44" i="6"/>
  <c r="J42" i="24" s="1"/>
  <c r="V44" i="6"/>
  <c r="I42" i="24" s="1"/>
  <c r="R51" i="6"/>
  <c r="H49" i="24" s="1"/>
  <c r="R54" i="6"/>
  <c r="H52" i="24" s="1"/>
  <c r="R21" i="7"/>
  <c r="R53" i="6"/>
  <c r="H51" i="24" s="1"/>
  <c r="R52" i="6"/>
  <c r="H50" i="24" s="1"/>
  <c r="R55" i="6"/>
  <c r="AY55" s="1"/>
  <c r="N44"/>
  <c r="G42" i="24" s="1"/>
  <c r="N42" i="6"/>
  <c r="G40" i="24" s="1"/>
  <c r="N41" i="6"/>
  <c r="G39" i="24" s="1"/>
  <c r="N45" i="6"/>
  <c r="G43" i="24" s="1"/>
  <c r="N43" i="6"/>
  <c r="G41" i="24" s="1"/>
  <c r="G51" i="6"/>
  <c r="J51" s="1"/>
  <c r="AY51" s="1"/>
  <c r="R48" i="7"/>
  <c r="G53" i="6"/>
  <c r="J53" s="1"/>
  <c r="R50" i="7"/>
  <c r="AL22" i="6"/>
  <c r="M20" i="24" s="1"/>
  <c r="AL26" i="6"/>
  <c r="M24" i="24" s="1"/>
  <c r="AL14" i="6"/>
  <c r="M12" i="24" s="1"/>
  <c r="AL13" i="6"/>
  <c r="M11" i="24" s="1"/>
  <c r="AL18" i="6"/>
  <c r="M16" i="24" s="1"/>
  <c r="AL38" i="6"/>
  <c r="M36" i="24" s="1"/>
  <c r="AL41" i="6"/>
  <c r="M39" i="24" s="1"/>
  <c r="AL37" i="6"/>
  <c r="M35" i="24" s="1"/>
  <c r="R24" i="7"/>
  <c r="AL20" i="6"/>
  <c r="M18" i="24" s="1"/>
  <c r="AL39" i="6"/>
  <c r="M37" i="24" s="1"/>
  <c r="AL34" i="6"/>
  <c r="M32" i="24" s="1"/>
  <c r="AL35" i="6"/>
  <c r="M33" i="24" s="1"/>
  <c r="AL33" i="6"/>
  <c r="M31" i="24" s="1"/>
  <c r="AL12" i="6"/>
  <c r="M10" i="24" s="1"/>
  <c r="AL32" i="6"/>
  <c r="M30" i="24" s="1"/>
  <c r="AL29" i="6"/>
  <c r="M27" i="24" s="1"/>
  <c r="R32" i="7"/>
  <c r="AL28" i="6"/>
  <c r="M26" i="24" s="1"/>
  <c r="AL36" i="6"/>
  <c r="M34" i="24" s="1"/>
  <c r="AL43" i="6"/>
  <c r="M41" i="24" s="1"/>
  <c r="AL25" i="6"/>
  <c r="M23" i="24" s="1"/>
  <c r="AL24" i="6"/>
  <c r="M22" i="24" s="1"/>
  <c r="AL27" i="6"/>
  <c r="M25" i="24" s="1"/>
  <c r="AL40" i="6"/>
  <c r="M38" i="24" s="1"/>
  <c r="AL42" i="6"/>
  <c r="M40" i="24" s="1"/>
  <c r="AL21" i="6"/>
  <c r="M19" i="24" s="1"/>
  <c r="AL17" i="6"/>
  <c r="M15" i="24" s="1"/>
  <c r="AL23" i="6"/>
  <c r="M21" i="24" s="1"/>
  <c r="AL16" i="6"/>
  <c r="M14" i="24" s="1"/>
  <c r="AL15" i="6"/>
  <c r="M13" i="24" s="1"/>
  <c r="AL31" i="6"/>
  <c r="M29" i="24" s="1"/>
  <c r="AL19" i="6"/>
  <c r="M17" i="24" s="1"/>
  <c r="AL11" i="6"/>
  <c r="M9" i="24" s="1"/>
  <c r="AL30" i="6"/>
  <c r="M28" i="24" s="1"/>
  <c r="AH23" i="6"/>
  <c r="L21" i="24" s="1"/>
  <c r="AH20" i="6"/>
  <c r="L18" i="24" s="1"/>
  <c r="AH13" i="6"/>
  <c r="L11" i="24" s="1"/>
  <c r="AH16" i="6"/>
  <c r="L14" i="24" s="1"/>
  <c r="AH26" i="6"/>
  <c r="L24" i="24" s="1"/>
  <c r="AH24" i="6"/>
  <c r="L22" i="24" s="1"/>
  <c r="AH37" i="6"/>
  <c r="L35" i="24" s="1"/>
  <c r="AH18" i="6"/>
  <c r="L16" i="24" s="1"/>
  <c r="AH46" i="6"/>
  <c r="L44" i="24" s="1"/>
  <c r="AH12" i="6"/>
  <c r="L10" i="24" s="1"/>
  <c r="AH15" i="6"/>
  <c r="L13" i="24" s="1"/>
  <c r="AH45" i="6"/>
  <c r="L43" i="24" s="1"/>
  <c r="AH35" i="6"/>
  <c r="L33" i="24" s="1"/>
  <c r="R27" i="7"/>
  <c r="AH30" i="6"/>
  <c r="L28" i="24" s="1"/>
  <c r="AH25" i="6"/>
  <c r="L23" i="24" s="1"/>
  <c r="AH11" i="6"/>
  <c r="L9" i="24" s="1"/>
  <c r="AH47" i="6"/>
  <c r="L45" i="24" s="1"/>
  <c r="AH48" i="6"/>
  <c r="L46" i="24" s="1"/>
  <c r="AH33" i="6"/>
  <c r="L31" i="24" s="1"/>
  <c r="AH36" i="6"/>
  <c r="L34" i="24" s="1"/>
  <c r="AH39" i="6"/>
  <c r="L37" i="24" s="1"/>
  <c r="AH42" i="6"/>
  <c r="L40" i="24" s="1"/>
  <c r="AH32" i="6"/>
  <c r="L30" i="24" s="1"/>
  <c r="AH38" i="6"/>
  <c r="L36" i="24" s="1"/>
  <c r="AH34" i="6"/>
  <c r="L32" i="24" s="1"/>
  <c r="AH44" i="6"/>
  <c r="L42" i="24" s="1"/>
  <c r="AH27" i="6"/>
  <c r="L25" i="24" s="1"/>
  <c r="AH21" i="6"/>
  <c r="L19" i="24" s="1"/>
  <c r="R11" i="7"/>
  <c r="AH17" i="6"/>
  <c r="L15" i="24" s="1"/>
  <c r="AH31" i="6"/>
  <c r="L29" i="24" s="1"/>
  <c r="AH41" i="6"/>
  <c r="L39" i="24" s="1"/>
  <c r="AH29" i="6"/>
  <c r="AH28"/>
  <c r="L26" i="24" s="1"/>
  <c r="AH49" i="6"/>
  <c r="L47" i="24" s="1"/>
  <c r="AH43" i="6"/>
  <c r="L41" i="24" s="1"/>
  <c r="AH14" i="6"/>
  <c r="R46" i="7"/>
  <c r="AH22" i="6"/>
  <c r="L20" i="24" s="1"/>
  <c r="AH40" i="6"/>
  <c r="L38" i="24" s="1"/>
  <c r="R43" i="7"/>
  <c r="AH19" i="6"/>
  <c r="L17" i="24" s="1"/>
  <c r="R38" i="7"/>
  <c r="R41"/>
  <c r="Z19" i="6"/>
  <c r="Z28"/>
  <c r="J26" i="24" s="1"/>
  <c r="Z15" i="6"/>
  <c r="J13" i="24" s="1"/>
  <c r="Z18" i="6"/>
  <c r="J16" i="24" s="1"/>
  <c r="Z24" i="6"/>
  <c r="J22" i="24" s="1"/>
  <c r="Z14" i="6"/>
  <c r="J12" i="24" s="1"/>
  <c r="Z41" i="6"/>
  <c r="J39" i="24" s="1"/>
  <c r="Z20" i="6"/>
  <c r="J18" i="24" s="1"/>
  <c r="Z39" i="6"/>
  <c r="J37" i="24" s="1"/>
  <c r="Z16" i="6"/>
  <c r="J14" i="24" s="1"/>
  <c r="Z29" i="6"/>
  <c r="J27" i="24" s="1"/>
  <c r="R14" i="7"/>
  <c r="R17"/>
  <c r="Z32" i="6"/>
  <c r="J30" i="24" s="1"/>
  <c r="Z35" i="6"/>
  <c r="J33" i="24" s="1"/>
  <c r="Z40" i="6"/>
  <c r="J38" i="24" s="1"/>
  <c r="Z31" i="6"/>
  <c r="J29" i="24" s="1"/>
  <c r="Z25" i="6"/>
  <c r="Z27"/>
  <c r="J25" i="24" s="1"/>
  <c r="Z11" i="6"/>
  <c r="J9" i="24" s="1"/>
  <c r="Z13" i="6"/>
  <c r="J11" i="24" s="1"/>
  <c r="Z26" i="6"/>
  <c r="J24" i="24" s="1"/>
  <c r="Z22" i="6"/>
  <c r="J20" i="24" s="1"/>
  <c r="Z30" i="6"/>
  <c r="J28" i="24" s="1"/>
  <c r="Z36" i="6"/>
  <c r="J34" i="24" s="1"/>
  <c r="Z12" i="6"/>
  <c r="Z37"/>
  <c r="J35" i="24" s="1"/>
  <c r="Z33" i="6"/>
  <c r="J31" i="24" s="1"/>
  <c r="Z23" i="6"/>
  <c r="J21" i="24" s="1"/>
  <c r="Z34" i="6"/>
  <c r="J32" i="24" s="1"/>
  <c r="Z21" i="6"/>
  <c r="J19" i="24" s="1"/>
  <c r="Z17" i="6"/>
  <c r="J15" i="24" s="1"/>
  <c r="Z38" i="6"/>
  <c r="J36" i="24" s="1"/>
  <c r="R9" i="7"/>
  <c r="V34" i="6"/>
  <c r="V37"/>
  <c r="I35" i="24" s="1"/>
  <c r="V15" i="6"/>
  <c r="I13" i="24" s="1"/>
  <c r="V42" i="6"/>
  <c r="I40" i="24" s="1"/>
  <c r="V40" i="6"/>
  <c r="I38" i="24" s="1"/>
  <c r="V17" i="6"/>
  <c r="I15" i="24" s="1"/>
  <c r="V23" i="6"/>
  <c r="I21" i="24" s="1"/>
  <c r="V22" i="6"/>
  <c r="I20" i="24" s="1"/>
  <c r="V12" i="6"/>
  <c r="V28"/>
  <c r="I26" i="24" s="1"/>
  <c r="V24" i="6"/>
  <c r="I22" i="24" s="1"/>
  <c r="V29" i="6"/>
  <c r="I27" i="24" s="1"/>
  <c r="V13" i="6"/>
  <c r="I11" i="24" s="1"/>
  <c r="V19" i="6"/>
  <c r="I17" i="24" s="1"/>
  <c r="V11" i="6"/>
  <c r="I9" i="24" s="1"/>
  <c r="V36" i="6"/>
  <c r="I34" i="24" s="1"/>
  <c r="R20" i="7"/>
  <c r="V26" i="6"/>
  <c r="I24" i="24" s="1"/>
  <c r="V38" i="6"/>
  <c r="I36" i="24" s="1"/>
  <c r="V32" i="6"/>
  <c r="V25"/>
  <c r="I23" i="24" s="1"/>
  <c r="V21" i="6"/>
  <c r="I19" i="24" s="1"/>
  <c r="V18" i="6"/>
  <c r="I16" i="24" s="1"/>
  <c r="R35" i="7"/>
  <c r="V43" i="6"/>
  <c r="I41" i="24" s="1"/>
  <c r="V39" i="6"/>
  <c r="I37" i="24" s="1"/>
  <c r="V41" i="6"/>
  <c r="I39" i="24" s="1"/>
  <c r="V33" i="6"/>
  <c r="I31" i="24" s="1"/>
  <c r="V27" i="6"/>
  <c r="I25" i="24" s="1"/>
  <c r="V20" i="6"/>
  <c r="V35"/>
  <c r="I33" i="24" s="1"/>
  <c r="V30" i="6"/>
  <c r="I28" i="24" s="1"/>
  <c r="V16" i="6"/>
  <c r="I14" i="24" s="1"/>
  <c r="V31" i="6"/>
  <c r="I29" i="24" s="1"/>
  <c r="V14" i="6"/>
  <c r="I12" i="24" s="1"/>
  <c r="R37" i="7"/>
  <c r="R36"/>
  <c r="R13" i="6"/>
  <c r="H11" i="24" s="1"/>
  <c r="R34" i="6"/>
  <c r="H32" i="24" s="1"/>
  <c r="R33" i="6"/>
  <c r="H31" i="24" s="1"/>
  <c r="R39" i="6"/>
  <c r="H37" i="24" s="1"/>
  <c r="R19" i="6"/>
  <c r="H17" i="24" s="1"/>
  <c r="R36" i="6"/>
  <c r="H34" i="24" s="1"/>
  <c r="R15" i="6"/>
  <c r="H13" i="24" s="1"/>
  <c r="R14" i="6"/>
  <c r="H12" i="24" s="1"/>
  <c r="R49" i="6"/>
  <c r="AY49" s="1"/>
  <c r="R43"/>
  <c r="H41" i="24" s="1"/>
  <c r="R21" i="6"/>
  <c r="H19" i="24" s="1"/>
  <c r="R24" i="6"/>
  <c r="H22" i="24" s="1"/>
  <c r="R30" i="6"/>
  <c r="H28" i="24" s="1"/>
  <c r="R20" i="6"/>
  <c r="H18" i="24" s="1"/>
  <c r="O47" i="6"/>
  <c r="R44" i="7"/>
  <c r="R30"/>
  <c r="R23"/>
  <c r="R42" i="6"/>
  <c r="H40" i="24" s="1"/>
  <c r="R22" i="6"/>
  <c r="H20" i="24" s="1"/>
  <c r="R18" i="6"/>
  <c r="H16" i="24" s="1"/>
  <c r="O45" i="6"/>
  <c r="R42" i="7"/>
  <c r="O48" i="6"/>
  <c r="R45" i="7"/>
  <c r="R17" i="6"/>
  <c r="H15" i="24" s="1"/>
  <c r="R44" i="6"/>
  <c r="H42" i="24" s="1"/>
  <c r="R40" i="6"/>
  <c r="H38" i="24" s="1"/>
  <c r="R25" i="6"/>
  <c r="AY25" s="1"/>
  <c r="R29"/>
  <c r="H27" i="24" s="1"/>
  <c r="R31" i="7"/>
  <c r="R37" i="6"/>
  <c r="H35" i="24" s="1"/>
  <c r="R38" i="6"/>
  <c r="H36" i="24" s="1"/>
  <c r="R32" i="6"/>
  <c r="H30" i="24" s="1"/>
  <c r="R28" i="6"/>
  <c r="H26" i="24" s="1"/>
  <c r="R31" i="6"/>
  <c r="H29" i="24" s="1"/>
  <c r="R27" i="6"/>
  <c r="H25" i="24" s="1"/>
  <c r="R26" i="6"/>
  <c r="H24" i="24" s="1"/>
  <c r="R41" i="6"/>
  <c r="H39" i="24" s="1"/>
  <c r="R11" i="6"/>
  <c r="H9" i="24" s="1"/>
  <c r="R29" i="7"/>
  <c r="R28"/>
  <c r="R16" i="6"/>
  <c r="AY16" s="1"/>
  <c r="R23"/>
  <c r="H21" i="24" s="1"/>
  <c r="R12" i="6"/>
  <c r="H10" i="24" s="1"/>
  <c r="R35" i="6"/>
  <c r="H33" i="24" s="1"/>
  <c r="R46" i="6"/>
  <c r="AY46" s="1"/>
  <c r="R39" i="7"/>
  <c r="R50" i="6"/>
  <c r="H48" i="24" s="1"/>
  <c r="N27" i="6"/>
  <c r="G25" i="24" s="1"/>
  <c r="N29" i="6"/>
  <c r="G27" i="24" s="1"/>
  <c r="N28" i="6"/>
  <c r="G26" i="24" s="1"/>
  <c r="N18" i="6"/>
  <c r="G16" i="24" s="1"/>
  <c r="N31" i="6"/>
  <c r="G29" i="24" s="1"/>
  <c r="N14" i="6"/>
  <c r="G12" i="24" s="1"/>
  <c r="N37" i="6"/>
  <c r="G35" i="24" s="1"/>
  <c r="N16" i="6"/>
  <c r="G14" i="24" s="1"/>
  <c r="N19" i="6"/>
  <c r="N22"/>
  <c r="N25"/>
  <c r="G23" i="24" s="1"/>
  <c r="N15" i="6"/>
  <c r="G13" i="24" s="1"/>
  <c r="R10" i="7"/>
  <c r="N12" i="6"/>
  <c r="G10" i="24" s="1"/>
  <c r="N34" i="6"/>
  <c r="G32" i="24" s="1"/>
  <c r="N30" i="6"/>
  <c r="G28" i="24" s="1"/>
  <c r="N26" i="6"/>
  <c r="G24" i="24" s="1"/>
  <c r="R34" i="7"/>
  <c r="N36" i="6"/>
  <c r="G34" i="24" s="1"/>
  <c r="N23" i="6"/>
  <c r="G21" i="24" s="1"/>
  <c r="N21" i="6"/>
  <c r="G19" i="24" s="1"/>
  <c r="N24" i="6"/>
  <c r="G22" i="24" s="1"/>
  <c r="N20" i="6"/>
  <c r="G18" i="24" s="1"/>
  <c r="N39" i="6"/>
  <c r="G37" i="24" s="1"/>
  <c r="R18" i="7"/>
  <c r="N32" i="6"/>
  <c r="G30" i="24" s="1"/>
  <c r="N33" i="6"/>
  <c r="G31" i="24" s="1"/>
  <c r="R16" i="7"/>
  <c r="R19"/>
  <c r="R22"/>
  <c r="R25"/>
  <c r="R15"/>
  <c r="N40" i="6"/>
  <c r="G38" i="24" s="1"/>
  <c r="N13" i="6"/>
  <c r="G11" i="24" s="1"/>
  <c r="N11" i="6"/>
  <c r="G9" i="24" s="1"/>
  <c r="N35" i="6"/>
  <c r="R13" i="7"/>
  <c r="R12"/>
  <c r="N38" i="6"/>
  <c r="G36" i="24" s="1"/>
  <c r="N17" i="6"/>
  <c r="G15" i="24" s="1"/>
  <c r="R26" i="7"/>
  <c r="G11" i="6"/>
  <c r="J11" s="1"/>
  <c r="F9" i="24" s="1"/>
  <c r="R8" i="7"/>
  <c r="G13" i="6"/>
  <c r="J13" s="1"/>
  <c r="G36"/>
  <c r="J36" s="1"/>
  <c r="R33" i="7"/>
  <c r="G23" i="6"/>
  <c r="J23" s="1"/>
  <c r="Q27" i="7"/>
  <c r="Q23"/>
  <c r="Q54"/>
  <c r="Q45"/>
  <c r="Q11"/>
  <c r="Q14"/>
  <c r="Q17"/>
  <c r="Q44"/>
  <c r="Q34"/>
  <c r="Q30"/>
  <c r="Q20"/>
  <c r="Q10"/>
  <c r="Q32"/>
  <c r="Q35"/>
  <c r="Q38"/>
  <c r="Q41"/>
  <c r="Q31"/>
  <c r="G33" i="6"/>
  <c r="J33" s="1"/>
  <c r="G26"/>
  <c r="J26" s="1"/>
  <c r="Q51" i="7"/>
  <c r="Q47"/>
  <c r="Q29"/>
  <c r="Q56"/>
  <c r="Q28"/>
  <c r="Q55"/>
  <c r="Q18"/>
  <c r="Q48"/>
  <c r="Q57"/>
  <c r="Q53"/>
  <c r="Q16"/>
  <c r="Q19"/>
  <c r="Q22"/>
  <c r="Q25"/>
  <c r="Q52"/>
  <c r="Q15"/>
  <c r="Q42"/>
  <c r="G54" i="6"/>
  <c r="J54" s="1"/>
  <c r="AY54" s="1"/>
  <c r="Q24" i="7"/>
  <c r="Q50"/>
  <c r="Q13"/>
  <c r="Q40"/>
  <c r="Q43"/>
  <c r="Q46"/>
  <c r="Q49"/>
  <c r="Q12"/>
  <c r="Q39"/>
  <c r="G27" i="6"/>
  <c r="J27" s="1"/>
  <c r="Q33" i="7"/>
  <c r="Q21"/>
  <c r="Q37"/>
  <c r="Q9"/>
  <c r="Q36"/>
  <c r="Q26"/>
  <c r="G50" i="6"/>
  <c r="J50" s="1"/>
  <c r="G30"/>
  <c r="J30" s="1"/>
  <c r="G24"/>
  <c r="J24" s="1"/>
  <c r="F32" i="24"/>
  <c r="F20"/>
  <c r="F29"/>
  <c r="F37"/>
  <c r="F12"/>
  <c r="F23"/>
  <c r="F38"/>
  <c r="F45"/>
  <c r="F47"/>
  <c r="F41"/>
  <c r="F42"/>
  <c r="F35"/>
  <c r="F51"/>
  <c r="F39"/>
  <c r="F14"/>
  <c r="F57"/>
  <c r="F40"/>
  <c r="F58"/>
  <c r="F26"/>
  <c r="F30"/>
  <c r="F10"/>
  <c r="F36"/>
  <c r="F13"/>
  <c r="F15"/>
  <c r="F50"/>
  <c r="F43"/>
  <c r="F56"/>
  <c r="F53"/>
  <c r="F46"/>
  <c r="F17"/>
  <c r="F44"/>
  <c r="F18"/>
  <c r="N25" i="2"/>
  <c r="O24"/>
  <c r="K25" i="24"/>
  <c r="K34"/>
  <c r="K14"/>
  <c r="K45"/>
  <c r="K53"/>
  <c r="K56"/>
  <c r="K27"/>
  <c r="K44"/>
  <c r="K35"/>
  <c r="K13"/>
  <c r="K46"/>
  <c r="K48"/>
  <c r="K33"/>
  <c r="K24"/>
  <c r="K11"/>
  <c r="K9"/>
  <c r="K12"/>
  <c r="K26"/>
  <c r="K42"/>
  <c r="K58"/>
  <c r="K29"/>
  <c r="K52"/>
  <c r="K15"/>
  <c r="K20"/>
  <c r="K36"/>
  <c r="K31"/>
  <c r="K21"/>
  <c r="K43"/>
  <c r="K37"/>
  <c r="K47"/>
  <c r="K49"/>
  <c r="K51"/>
  <c r="K55"/>
  <c r="K40"/>
  <c r="K30"/>
  <c r="K19"/>
  <c r="K57"/>
  <c r="K17"/>
  <c r="K18"/>
  <c r="K22"/>
  <c r="K41"/>
  <c r="K23"/>
  <c r="K16"/>
  <c r="K39"/>
  <c r="K32"/>
  <c r="K28"/>
  <c r="K54"/>
  <c r="K10"/>
  <c r="K50"/>
  <c r="K38"/>
  <c r="P11"/>
  <c r="Q47" i="2"/>
  <c r="E47" s="1"/>
  <c r="D54" i="6" s="1"/>
  <c r="Q52" i="2"/>
  <c r="E52" s="1"/>
  <c r="D59" i="6" s="1"/>
  <c r="Q34" i="2"/>
  <c r="E34" s="1"/>
  <c r="D41" i="6" s="1"/>
  <c r="Q36" i="2"/>
  <c r="E36" s="1"/>
  <c r="D43" i="6" s="1"/>
  <c r="Q42" i="2"/>
  <c r="E42" s="1"/>
  <c r="D49" i="6" s="1"/>
  <c r="Q10" i="2"/>
  <c r="E10" s="1"/>
  <c r="D17" i="6" s="1"/>
  <c r="Q32" i="2"/>
  <c r="Q50"/>
  <c r="E50" s="1"/>
  <c r="D57" i="6" s="1"/>
  <c r="Q44" i="2"/>
  <c r="E44" s="1"/>
  <c r="D51" i="6" s="1"/>
  <c r="Q39" i="2"/>
  <c r="E39" s="1"/>
  <c r="D46" i="6" s="1"/>
  <c r="Q31" i="2"/>
  <c r="Q18"/>
  <c r="E18" s="1"/>
  <c r="D25" i="6" s="1"/>
  <c r="Q33" i="2"/>
  <c r="Q51"/>
  <c r="E51" s="1"/>
  <c r="D58" i="6" s="1"/>
  <c r="Q46" i="2"/>
  <c r="E46" s="1"/>
  <c r="D53" i="6" s="1"/>
  <c r="Q40" i="2"/>
  <c r="E40" s="1"/>
  <c r="D47" i="6" s="1"/>
  <c r="Q35" i="2"/>
  <c r="E35" s="1"/>
  <c r="D42" i="6" s="1"/>
  <c r="Q24" i="2"/>
  <c r="E24" s="1"/>
  <c r="D31" i="6" s="1"/>
  <c r="Q28" i="2"/>
  <c r="Q48"/>
  <c r="E48" s="1"/>
  <c r="D55" i="6" s="1"/>
  <c r="Q43" i="2"/>
  <c r="E43" s="1"/>
  <c r="D50" i="6" s="1"/>
  <c r="Q38" i="2"/>
  <c r="E38" s="1"/>
  <c r="D45" i="6" s="1"/>
  <c r="Q14" i="2"/>
  <c r="E14" s="1"/>
  <c r="D21" i="6" s="1"/>
  <c r="Q30" i="2"/>
  <c r="Q53"/>
  <c r="E53" s="1"/>
  <c r="D60" i="6" s="1"/>
  <c r="Q49" i="2"/>
  <c r="E49" s="1"/>
  <c r="D56" i="6" s="1"/>
  <c r="Q45" i="2"/>
  <c r="E45" s="1"/>
  <c r="D52" i="6" s="1"/>
  <c r="Q41" i="2"/>
  <c r="E41" s="1"/>
  <c r="D48" i="6" s="1"/>
  <c r="Q37" i="2"/>
  <c r="E37" s="1"/>
  <c r="D44" i="6" s="1"/>
  <c r="Q29" i="2"/>
  <c r="Q25"/>
  <c r="Q22"/>
  <c r="E22" s="1"/>
  <c r="D29" i="6" s="1"/>
  <c r="Q8" i="7"/>
  <c r="Q23" i="2"/>
  <c r="E23" s="1"/>
  <c r="D30" i="6" s="1"/>
  <c r="Q16" i="2"/>
  <c r="E16" s="1"/>
  <c r="D23" i="6" s="1"/>
  <c r="Q7" i="2"/>
  <c r="E7" s="1"/>
  <c r="D14" i="6" s="1"/>
  <c r="Q20" i="2"/>
  <c r="E20" s="1"/>
  <c r="D27" i="6" s="1"/>
  <c r="Q12" i="2"/>
  <c r="E12" s="1"/>
  <c r="D19" i="6" s="1"/>
  <c r="Q4" i="2"/>
  <c r="Q8"/>
  <c r="E8" s="1"/>
  <c r="D15" i="6" s="1"/>
  <c r="Q19" i="2"/>
  <c r="E19" s="1"/>
  <c r="D26" i="6" s="1"/>
  <c r="Q6" i="2"/>
  <c r="Q21"/>
  <c r="E21" s="1"/>
  <c r="D28" i="6" s="1"/>
  <c r="Q27" i="2"/>
  <c r="Q17"/>
  <c r="E17" s="1"/>
  <c r="D24" i="6" s="1"/>
  <c r="Q26" i="2"/>
  <c r="Q13"/>
  <c r="E13" s="1"/>
  <c r="D20" i="6" s="1"/>
  <c r="Q5" i="2"/>
  <c r="E5" s="1"/>
  <c r="D12" i="6" s="1"/>
  <c r="Q9" i="2"/>
  <c r="E9" s="1"/>
  <c r="D16" i="6" s="1"/>
  <c r="Q15" i="2"/>
  <c r="E15" s="1"/>
  <c r="D22" i="6" s="1"/>
  <c r="AY53" l="1"/>
  <c r="AY58"/>
  <c r="AZ59"/>
  <c r="N55" i="24"/>
  <c r="AY59" i="6"/>
  <c r="AY50"/>
  <c r="AZ57"/>
  <c r="V45" i="35"/>
  <c r="I45" s="1"/>
  <c r="V31" i="26"/>
  <c r="I31" s="1"/>
  <c r="U45" i="35"/>
  <c r="W31" i="26"/>
  <c r="F11" i="24"/>
  <c r="AY13" i="6"/>
  <c r="J57" i="24"/>
  <c r="AY35" i="6"/>
  <c r="H56" i="24"/>
  <c r="R56" s="1"/>
  <c r="F34"/>
  <c r="AY36" i="6"/>
  <c r="AY15"/>
  <c r="AY52"/>
  <c r="AY28"/>
  <c r="AY37"/>
  <c r="AY56"/>
  <c r="F28" i="24"/>
  <c r="R28" s="1"/>
  <c r="AY30" i="6"/>
  <c r="F25" i="24"/>
  <c r="AY27" i="6"/>
  <c r="V35" i="35"/>
  <c r="V21" i="26"/>
  <c r="I21" s="1"/>
  <c r="U35" i="35"/>
  <c r="I35" s="1"/>
  <c r="W21" i="26"/>
  <c r="AY60" i="6"/>
  <c r="AZ60"/>
  <c r="AY22"/>
  <c r="AY38"/>
  <c r="F21" i="24"/>
  <c r="AY23" i="6"/>
  <c r="AY42"/>
  <c r="AY43"/>
  <c r="AY19"/>
  <c r="AY41"/>
  <c r="F22" i="24"/>
  <c r="AY24" i="6"/>
  <c r="V36" i="35"/>
  <c r="V22" i="26"/>
  <c r="I22" s="1"/>
  <c r="U36" i="35"/>
  <c r="I36" s="1"/>
  <c r="W22" i="26"/>
  <c r="W27"/>
  <c r="V41" i="35"/>
  <c r="V27" i="26"/>
  <c r="I27" s="1"/>
  <c r="U41" i="35"/>
  <c r="I41" s="1"/>
  <c r="AY40" i="6"/>
  <c r="AY34"/>
  <c r="AY44"/>
  <c r="AY32"/>
  <c r="F31" i="24"/>
  <c r="R31" s="1"/>
  <c r="AY33" i="6"/>
  <c r="W29" i="26"/>
  <c r="V43" i="35"/>
  <c r="V29" i="26"/>
  <c r="I29" s="1"/>
  <c r="U43" i="35"/>
  <c r="I43" s="1"/>
  <c r="W30" i="26"/>
  <c r="V44" i="35"/>
  <c r="I44" s="1"/>
  <c r="V30" i="26"/>
  <c r="I30" s="1"/>
  <c r="U44" i="35"/>
  <c r="AY12" i="6"/>
  <c r="AY18"/>
  <c r="AY31"/>
  <c r="AY14"/>
  <c r="F24" i="24"/>
  <c r="AY26" i="6"/>
  <c r="V19" i="26"/>
  <c r="I19" s="1"/>
  <c r="U33" i="35"/>
  <c r="I33" s="1"/>
  <c r="W19" i="26"/>
  <c r="V33" i="35"/>
  <c r="U40"/>
  <c r="I40" s="1"/>
  <c r="W26" i="26"/>
  <c r="V40" i="35"/>
  <c r="V26" i="26"/>
  <c r="I26" s="1"/>
  <c r="AY29" i="6"/>
  <c r="AY21"/>
  <c r="AY17"/>
  <c r="V24" i="26"/>
  <c r="I24" s="1"/>
  <c r="U38" i="35"/>
  <c r="I38" s="1"/>
  <c r="W24" i="26"/>
  <c r="V38" i="35"/>
  <c r="W20" i="26"/>
  <c r="V34" i="35"/>
  <c r="V20" i="26"/>
  <c r="I20" s="1"/>
  <c r="U34" i="35"/>
  <c r="I34" s="1"/>
  <c r="V37"/>
  <c r="V23" i="26"/>
  <c r="I23" s="1"/>
  <c r="U37" i="35"/>
  <c r="I37" s="1"/>
  <c r="W23" i="26"/>
  <c r="AY39" i="6"/>
  <c r="AY20"/>
  <c r="AZ55"/>
  <c r="AZ44"/>
  <c r="AZ22"/>
  <c r="AZ43"/>
  <c r="AZ35"/>
  <c r="H53" i="24"/>
  <c r="AZ31" i="6"/>
  <c r="AZ37"/>
  <c r="AZ17"/>
  <c r="AZ16"/>
  <c r="H44" i="24"/>
  <c r="AZ52" i="6"/>
  <c r="H14" i="24"/>
  <c r="R14" s="1"/>
  <c r="AZ28" i="6"/>
  <c r="G33" i="24"/>
  <c r="G20"/>
  <c r="R20" s="1"/>
  <c r="AZ20" i="6"/>
  <c r="AZ38"/>
  <c r="AZ14"/>
  <c r="AZ25"/>
  <c r="AZ51"/>
  <c r="AZ54"/>
  <c r="AZ53"/>
  <c r="AZ32"/>
  <c r="AZ34"/>
  <c r="AZ29"/>
  <c r="L12" i="24"/>
  <c r="T12" s="1"/>
  <c r="L27"/>
  <c r="AZ49" i="6"/>
  <c r="J10" i="24"/>
  <c r="J23"/>
  <c r="J17"/>
  <c r="AZ19" i="6"/>
  <c r="AZ12"/>
  <c r="AZ39"/>
  <c r="I18" i="24"/>
  <c r="R18" s="1"/>
  <c r="I10"/>
  <c r="I32"/>
  <c r="R32" s="1"/>
  <c r="I30"/>
  <c r="R30" s="1"/>
  <c r="AZ21" i="6"/>
  <c r="AZ42"/>
  <c r="AZ50"/>
  <c r="H47" i="24"/>
  <c r="R47" s="1"/>
  <c r="R48" i="6"/>
  <c r="AY48" s="1"/>
  <c r="H23" i="24"/>
  <c r="AZ41" i="6"/>
  <c r="AZ15"/>
  <c r="AZ46"/>
  <c r="R47"/>
  <c r="AY47" s="1"/>
  <c r="R45"/>
  <c r="AY45" s="1"/>
  <c r="AZ18"/>
  <c r="AZ40"/>
  <c r="G17" i="24"/>
  <c r="R9"/>
  <c r="AZ33" i="6"/>
  <c r="AZ36"/>
  <c r="AZ26"/>
  <c r="AY11"/>
  <c r="AZ11"/>
  <c r="AZ30"/>
  <c r="AZ27"/>
  <c r="AZ13"/>
  <c r="AZ24"/>
  <c r="AZ23"/>
  <c r="F49" i="24"/>
  <c r="R49" s="1"/>
  <c r="F52"/>
  <c r="Q52" s="1"/>
  <c r="F54"/>
  <c r="R54" s="1"/>
  <c r="F16"/>
  <c r="R16" s="1"/>
  <c r="F55"/>
  <c r="F19"/>
  <c r="T19" s="1"/>
  <c r="F48"/>
  <c r="R48" s="1"/>
  <c r="F33"/>
  <c r="F27"/>
  <c r="N26" i="2"/>
  <c r="O25"/>
  <c r="E25" s="1"/>
  <c r="D32" i="6" s="1"/>
  <c r="T11" i="24"/>
  <c r="T35"/>
  <c r="T38"/>
  <c r="T30"/>
  <c r="T34"/>
  <c r="T37"/>
  <c r="T33"/>
  <c r="T36"/>
  <c r="T32"/>
  <c r="T31"/>
  <c r="T13"/>
  <c r="T26"/>
  <c r="T24"/>
  <c r="T21"/>
  <c r="T29"/>
  <c r="T15"/>
  <c r="T25"/>
  <c r="T22"/>
  <c r="T9"/>
  <c r="AF9" s="1"/>
  <c r="R57"/>
  <c r="AE56"/>
  <c r="R42"/>
  <c r="R15"/>
  <c r="R25"/>
  <c r="R22"/>
  <c r="R41"/>
  <c r="R58"/>
  <c r="R50"/>
  <c r="R39"/>
  <c r="R34"/>
  <c r="R44"/>
  <c r="R37"/>
  <c r="R26"/>
  <c r="R24"/>
  <c r="R52"/>
  <c r="R40"/>
  <c r="R38"/>
  <c r="R35"/>
  <c r="R55"/>
  <c r="R12"/>
  <c r="R53"/>
  <c r="R21"/>
  <c r="R51"/>
  <c r="R36"/>
  <c r="R13"/>
  <c r="R29"/>
  <c r="S47" i="7"/>
  <c r="Q57" i="24"/>
  <c r="S38" i="7"/>
  <c r="S52"/>
  <c r="S51"/>
  <c r="S44"/>
  <c r="S37"/>
  <c r="S34"/>
  <c r="S39"/>
  <c r="S48"/>
  <c r="S49"/>
  <c r="S45"/>
  <c r="S57"/>
  <c r="S46"/>
  <c r="S40"/>
  <c r="S41"/>
  <c r="S53"/>
  <c r="S50"/>
  <c r="S43"/>
  <c r="S56"/>
  <c r="S55"/>
  <c r="S36"/>
  <c r="S35"/>
  <c r="S42"/>
  <c r="S54"/>
  <c r="Q55" i="24"/>
  <c r="Q13"/>
  <c r="Q51"/>
  <c r="Q44"/>
  <c r="Q38"/>
  <c r="Q15"/>
  <c r="Q54"/>
  <c r="Q50"/>
  <c r="Q53"/>
  <c r="Q39"/>
  <c r="Q28"/>
  <c r="Q24"/>
  <c r="Q21"/>
  <c r="Q29"/>
  <c r="Q36"/>
  <c r="Q41"/>
  <c r="Q12"/>
  <c r="Q47"/>
  <c r="Q40"/>
  <c r="Q35"/>
  <c r="Q30"/>
  <c r="Q56"/>
  <c r="Q10"/>
  <c r="Q32"/>
  <c r="Q25"/>
  <c r="Q37"/>
  <c r="Q26"/>
  <c r="Q48"/>
  <c r="Q58"/>
  <c r="Q9"/>
  <c r="Q34"/>
  <c r="Q22"/>
  <c r="Q18"/>
  <c r="Q42"/>
  <c r="S32" i="7"/>
  <c r="S33"/>
  <c r="E4" i="2"/>
  <c r="S31" i="7"/>
  <c r="E6" i="2"/>
  <c r="D13" i="6" s="1"/>
  <c r="S29" i="7"/>
  <c r="S15"/>
  <c r="S12"/>
  <c r="S26"/>
  <c r="S24"/>
  <c r="S8"/>
  <c r="S25"/>
  <c r="S28"/>
  <c r="S21"/>
  <c r="S30"/>
  <c r="S17"/>
  <c r="S22"/>
  <c r="S23"/>
  <c r="S13"/>
  <c r="S18"/>
  <c r="S16"/>
  <c r="S10"/>
  <c r="S9"/>
  <c r="S27"/>
  <c r="S14"/>
  <c r="S11"/>
  <c r="S19"/>
  <c r="S20"/>
  <c r="R33" i="24" l="1"/>
  <c r="Q17"/>
  <c r="W32" i="26"/>
  <c r="I32" s="1"/>
  <c r="T28" i="24"/>
  <c r="AE28" s="1"/>
  <c r="V46" i="35"/>
  <c r="I46" s="1"/>
  <c r="Q31" i="24"/>
  <c r="T23"/>
  <c r="AF23" s="1"/>
  <c r="Q20"/>
  <c r="T20"/>
  <c r="AE20" s="1"/>
  <c r="R27"/>
  <c r="T14"/>
  <c r="AF14" s="1"/>
  <c r="Q14"/>
  <c r="Q16"/>
  <c r="Q19"/>
  <c r="T18"/>
  <c r="AE18" s="1"/>
  <c r="R10"/>
  <c r="R23"/>
  <c r="T10"/>
  <c r="AF10" s="1"/>
  <c r="Q33"/>
  <c r="Q23"/>
  <c r="R17"/>
  <c r="AZ48" i="6"/>
  <c r="T17" i="24"/>
  <c r="AE17" s="1"/>
  <c r="R19"/>
  <c r="T27"/>
  <c r="AE27" s="1"/>
  <c r="H43"/>
  <c r="AZ45" i="6"/>
  <c r="H46" i="24"/>
  <c r="H45"/>
  <c r="AZ47" i="6"/>
  <c r="T16" i="24"/>
  <c r="AE16" s="1"/>
  <c r="Q27"/>
  <c r="Q49"/>
  <c r="N27" i="2"/>
  <c r="O26"/>
  <c r="E26" s="1"/>
  <c r="D33" i="6" s="1"/>
  <c r="Q11" i="24"/>
  <c r="R11"/>
  <c r="AE9"/>
  <c r="C26" i="35"/>
  <c r="AF56" i="24"/>
  <c r="AF13"/>
  <c r="AE13"/>
  <c r="AF53"/>
  <c r="AE53"/>
  <c r="AF55"/>
  <c r="AE55"/>
  <c r="AF52"/>
  <c r="AE52"/>
  <c r="AF44"/>
  <c r="AE44"/>
  <c r="AF33"/>
  <c r="AE33"/>
  <c r="AF40"/>
  <c r="AE40"/>
  <c r="AF15"/>
  <c r="AE15"/>
  <c r="AF29"/>
  <c r="AE29"/>
  <c r="AF36"/>
  <c r="AE36"/>
  <c r="AF49"/>
  <c r="AE49"/>
  <c r="AF35"/>
  <c r="AE35"/>
  <c r="AF11"/>
  <c r="AE11"/>
  <c r="AF57"/>
  <c r="AE57"/>
  <c r="AF37"/>
  <c r="AE37"/>
  <c r="AF39"/>
  <c r="AE39"/>
  <c r="AF25"/>
  <c r="AE25"/>
  <c r="AF45"/>
  <c r="AE45"/>
  <c r="AF21"/>
  <c r="AE21"/>
  <c r="AF12"/>
  <c r="AE12"/>
  <c r="AF31"/>
  <c r="AE31"/>
  <c r="AF47"/>
  <c r="AE47"/>
  <c r="AF41"/>
  <c r="AE41"/>
  <c r="AF19"/>
  <c r="AE19"/>
  <c r="AF51"/>
  <c r="AE51"/>
  <c r="AF38"/>
  <c r="AE38"/>
  <c r="AF43"/>
  <c r="AE43"/>
  <c r="AF32"/>
  <c r="AE32"/>
  <c r="AF50"/>
  <c r="AE50"/>
  <c r="AF46"/>
  <c r="AE46"/>
  <c r="AF30"/>
  <c r="AE30"/>
  <c r="AF48"/>
  <c r="AE48"/>
  <c r="AF24"/>
  <c r="AE24"/>
  <c r="AF54"/>
  <c r="AE54"/>
  <c r="AF26"/>
  <c r="AE26"/>
  <c r="AF34"/>
  <c r="AE34"/>
  <c r="AF58"/>
  <c r="AE58"/>
  <c r="AF22"/>
  <c r="AE22"/>
  <c r="AF42"/>
  <c r="AE42"/>
  <c r="S42"/>
  <c r="S51"/>
  <c r="S44"/>
  <c r="S58"/>
  <c r="S47"/>
  <c r="S55"/>
  <c r="S56"/>
  <c r="S57"/>
  <c r="S41"/>
  <c r="S39"/>
  <c r="S50"/>
  <c r="S54"/>
  <c r="S40"/>
  <c r="S49"/>
  <c r="S52"/>
  <c r="S53"/>
  <c r="S48"/>
  <c r="D11" i="6"/>
  <c r="AF28" i="24" l="1"/>
  <c r="AE23"/>
  <c r="AF20"/>
  <c r="AE10"/>
  <c r="AE14"/>
  <c r="AE60" s="1"/>
  <c r="N17" i="23" s="1"/>
  <c r="AF18" i="24"/>
  <c r="AF27"/>
  <c r="AF17"/>
  <c r="R43"/>
  <c r="Q43"/>
  <c r="Q46"/>
  <c r="R46"/>
  <c r="S46" s="1"/>
  <c r="Q45"/>
  <c r="R45"/>
  <c r="S45" s="1"/>
  <c r="AF16"/>
  <c r="N28" i="2"/>
  <c r="O27"/>
  <c r="E27" s="1"/>
  <c r="D34" i="6" s="1"/>
  <c r="AE59" i="24" l="1"/>
  <c r="M17" i="23" s="1"/>
  <c r="O17" s="1"/>
  <c r="P17" s="1"/>
  <c r="AF59" i="24"/>
  <c r="I17" i="23" s="1"/>
  <c r="S33" i="24"/>
  <c r="S10"/>
  <c r="S25"/>
  <c r="S31"/>
  <c r="S37"/>
  <c r="S21"/>
  <c r="S24"/>
  <c r="S19"/>
  <c r="S27"/>
  <c r="S32"/>
  <c r="S11"/>
  <c r="S9"/>
  <c r="S43"/>
  <c r="S18"/>
  <c r="S22"/>
  <c r="S36"/>
  <c r="S13"/>
  <c r="S29"/>
  <c r="S23"/>
  <c r="S34"/>
  <c r="S28"/>
  <c r="S20"/>
  <c r="S15"/>
  <c r="S16"/>
  <c r="S14"/>
  <c r="S30"/>
  <c r="S12"/>
  <c r="S17"/>
  <c r="S26"/>
  <c r="S38"/>
  <c r="S35"/>
  <c r="N29" i="2"/>
  <c r="O28"/>
  <c r="E28" s="1"/>
  <c r="D35" i="6" s="1"/>
  <c r="AF60" i="24" l="1"/>
  <c r="J17" i="23" s="1"/>
  <c r="K17" s="1"/>
  <c r="L17" s="1"/>
  <c r="N30" i="2"/>
  <c r="O29"/>
  <c r="E29" s="1"/>
  <c r="D36" i="6" s="1"/>
  <c r="N31" i="2" l="1"/>
  <c r="O30"/>
  <c r="E30" s="1"/>
  <c r="D37" i="6" s="1"/>
  <c r="N32" i="2" l="1"/>
  <c r="O31"/>
  <c r="E31" s="1"/>
  <c r="D38" i="6" s="1"/>
  <c r="N33" i="2" l="1"/>
  <c r="O32"/>
  <c r="E32" s="1"/>
  <c r="D39" i="6" s="1"/>
  <c r="N34" i="2" l="1"/>
  <c r="O33"/>
  <c r="E33" s="1"/>
  <c r="D40" i="6" s="1"/>
  <c r="N35" i="2" l="1"/>
  <c r="O34"/>
  <c r="N36" l="1"/>
  <c r="O35"/>
  <c r="N37" l="1"/>
  <c r="O36"/>
  <c r="N38" l="1"/>
  <c r="O37"/>
  <c r="N39" l="1"/>
  <c r="O38"/>
  <c r="N40" l="1"/>
  <c r="O39"/>
  <c r="N41" l="1"/>
  <c r="O40"/>
  <c r="N42" l="1"/>
  <c r="O41"/>
  <c r="N43" l="1"/>
  <c r="O42"/>
  <c r="N44" l="1"/>
  <c r="O43"/>
  <c r="N45" l="1"/>
  <c r="O44"/>
  <c r="N46" l="1"/>
  <c r="O45"/>
  <c r="N47" l="1"/>
  <c r="O46"/>
  <c r="N48" l="1"/>
  <c r="O47"/>
  <c r="N49" l="1"/>
  <c r="O48"/>
  <c r="N50" l="1"/>
  <c r="O49"/>
  <c r="N51" l="1"/>
  <c r="O50"/>
  <c r="N52" l="1"/>
  <c r="O51"/>
  <c r="N53" l="1"/>
  <c r="O53" s="1"/>
  <c r="O52"/>
</calcChain>
</file>

<file path=xl/comments1.xml><?xml version="1.0" encoding="utf-8"?>
<comments xmlns="http://schemas.openxmlformats.org/spreadsheetml/2006/main">
  <authors>
    <author>user x</author>
  </authors>
  <commentList>
    <comment ref="F16" authorId="0">
      <text>
        <r>
          <rPr>
            <b/>
            <sz val="9"/>
            <color indexed="81"/>
            <rFont val="Tahoma"/>
            <family val="2"/>
          </rPr>
          <t>SESUAIKAN DENGAN SEKOLAH ANDA</t>
        </r>
      </text>
    </comment>
    <comment ref="D24" authorId="0">
      <text>
        <r>
          <rPr>
            <b/>
            <sz val="9"/>
            <color indexed="81"/>
            <rFont val="Tahoma"/>
            <family val="2"/>
          </rPr>
          <t>NAMA BULAN AKAN MENJADI BAHASA INGGIRIS JIKA KOMPUTER ANDA TIDAK DISETTIG INDONESIA, CEK DI --&gt; Control Panel\Clock and Region\Region</t>
        </r>
      </text>
    </comment>
  </commentList>
</comments>
</file>

<file path=xl/comments2.xml><?xml version="1.0" encoding="utf-8"?>
<comments xmlns="http://schemas.openxmlformats.org/spreadsheetml/2006/main">
  <authors>
    <author>user x</author>
  </authors>
  <commentList>
    <comment ref="F7" authorId="0">
      <text>
        <r>
          <rPr>
            <b/>
            <sz val="9"/>
            <color indexed="81"/>
            <rFont val="Tahoma"/>
            <family val="2"/>
          </rPr>
          <t>KKM lihat raport !</t>
        </r>
      </text>
    </comment>
    <comment ref="AG8" authorId="0">
      <text>
        <r>
          <rPr>
            <sz val="9"/>
            <color indexed="81"/>
            <rFont val="Tahoma"/>
            <family val="2"/>
          </rPr>
          <t>Jika tidak diperlukan hapus melalui pengaturan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M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P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S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V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Y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B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E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H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K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N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</commentList>
</comments>
</file>

<file path=xl/comments3.xml><?xml version="1.0" encoding="utf-8"?>
<comments xmlns="http://schemas.openxmlformats.org/spreadsheetml/2006/main">
  <authors>
    <author>user x</author>
  </authors>
  <commentList>
    <comment ref="F7" authorId="0">
      <text>
        <r>
          <rPr>
            <b/>
            <sz val="9"/>
            <color indexed="81"/>
            <rFont val="Tahoma"/>
            <family val="2"/>
          </rPr>
          <t>KKM lihat raport !</t>
        </r>
      </text>
    </comment>
    <comment ref="AG8" authorId="0">
      <text>
        <r>
          <rPr>
            <sz val="9"/>
            <color indexed="81"/>
            <rFont val="Tahoma"/>
            <family val="2"/>
          </rPr>
          <t>Jika tidak diperlukan hapus melalui pengaturan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M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P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S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V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Y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B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E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H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K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N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</commentList>
</comments>
</file>

<file path=xl/comments4.xml><?xml version="1.0" encoding="utf-8"?>
<comments xmlns="http://schemas.openxmlformats.org/spreadsheetml/2006/main">
  <authors>
    <author>user x</author>
  </authors>
  <commentList>
    <comment ref="F7" authorId="0">
      <text>
        <r>
          <rPr>
            <b/>
            <sz val="9"/>
            <color indexed="81"/>
            <rFont val="Tahoma"/>
            <family val="2"/>
          </rPr>
          <t>KKM lihat raport !</t>
        </r>
      </text>
    </comment>
    <comment ref="AG8" authorId="0">
      <text>
        <r>
          <rPr>
            <sz val="9"/>
            <color indexed="81"/>
            <rFont val="Tahoma"/>
            <family val="2"/>
          </rPr>
          <t>Jika tidak diperlukan hapus melalui pengaturan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M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P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S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V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Y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B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E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H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K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N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</commentList>
</comments>
</file>

<file path=xl/comments5.xml><?xml version="1.0" encoding="utf-8"?>
<comments xmlns="http://schemas.openxmlformats.org/spreadsheetml/2006/main">
  <authors>
    <author>user x</author>
  </authors>
  <commentList>
    <comment ref="F7" authorId="0">
      <text>
        <r>
          <rPr>
            <b/>
            <sz val="9"/>
            <color indexed="81"/>
            <rFont val="Tahoma"/>
            <family val="2"/>
          </rPr>
          <t>KKM lihat raport !</t>
        </r>
      </text>
    </comment>
    <comment ref="AG8" authorId="0">
      <text>
        <r>
          <rPr>
            <sz val="9"/>
            <color indexed="81"/>
            <rFont val="Tahoma"/>
            <family val="2"/>
          </rPr>
          <t xml:space="preserve">Jika tidak diperlukan hapus memalu pengaturan
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M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P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S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V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Y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B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E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H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K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N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</commentList>
</comments>
</file>

<file path=xl/comments6.xml><?xml version="1.0" encoding="utf-8"?>
<comments xmlns="http://schemas.openxmlformats.org/spreadsheetml/2006/main">
  <authors>
    <author>user x</author>
  </authors>
  <commentList>
    <comment ref="F7" authorId="0">
      <text>
        <r>
          <rPr>
            <b/>
            <sz val="9"/>
            <color indexed="81"/>
            <rFont val="Tahoma"/>
            <family val="2"/>
          </rPr>
          <t>KKM lihat raport !</t>
        </r>
      </text>
    </comment>
    <comment ref="AG8" authorId="0">
      <text>
        <r>
          <rPr>
            <sz val="9"/>
            <color indexed="81"/>
            <rFont val="Tahoma"/>
            <family val="2"/>
          </rPr>
          <t xml:space="preserve">Jika tidak diperlukan hapus melalui pengaturan
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M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P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S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V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Y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B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E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H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K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N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</commentList>
</comments>
</file>

<file path=xl/comments7.xml><?xml version="1.0" encoding="utf-8"?>
<comments xmlns="http://schemas.openxmlformats.org/spreadsheetml/2006/main">
  <authors>
    <author>user x</author>
  </authors>
  <commentList>
    <comment ref="F7" authorId="0">
      <text>
        <r>
          <rPr>
            <b/>
            <sz val="9"/>
            <color indexed="81"/>
            <rFont val="Tahoma"/>
            <family val="2"/>
          </rPr>
          <t>KKM lihat raport !</t>
        </r>
      </text>
    </comment>
    <comment ref="AG8" authorId="0">
      <text>
        <r>
          <rPr>
            <sz val="9"/>
            <color indexed="81"/>
            <rFont val="Tahoma"/>
            <family val="2"/>
          </rPr>
          <t>Jika tidak diperlukan hapus melalui pengaturan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M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P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S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V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Y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B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E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H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K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  <comment ref="AN9" authorId="0">
      <text>
        <r>
          <rPr>
            <b/>
            <sz val="9"/>
            <color indexed="81"/>
            <rFont val="Tahoma"/>
            <family val="2"/>
          </rPr>
          <t>KOSONGI UNTUK KURIKULUM 2006</t>
        </r>
      </text>
    </comment>
  </commentList>
</comments>
</file>

<file path=xl/comments8.xml><?xml version="1.0" encoding="utf-8"?>
<comments xmlns="http://schemas.openxmlformats.org/spreadsheetml/2006/main">
  <authors>
    <author>user x</author>
  </authors>
  <commentList>
    <comment ref="T9" authorId="0">
      <text>
        <r>
          <rPr>
            <sz val="9"/>
            <color indexed="81"/>
            <rFont val="Tahoma"/>
            <family val="2"/>
          </rPr>
          <t>JIKA TIDAK LULUS CEK KKM DI HALAMAN DEPAN ATAU PENGATURAN KKM</t>
        </r>
      </text>
    </comment>
  </commentList>
</comments>
</file>

<file path=xl/sharedStrings.xml><?xml version="1.0" encoding="utf-8"?>
<sst xmlns="http://schemas.openxmlformats.org/spreadsheetml/2006/main" count="1011" uniqueCount="287">
  <si>
    <t>BI</t>
  </si>
  <si>
    <t>AGAMA</t>
  </si>
  <si>
    <t>PKN</t>
  </si>
  <si>
    <t>MAT</t>
  </si>
  <si>
    <t>IPA</t>
  </si>
  <si>
    <t>IPS</t>
  </si>
  <si>
    <t>PJOK</t>
  </si>
  <si>
    <t>NO</t>
  </si>
  <si>
    <t>NAMA</t>
  </si>
  <si>
    <t>JUMLAH</t>
  </si>
  <si>
    <t>RERATA</t>
  </si>
  <si>
    <t>DATA SEKOLAH</t>
  </si>
  <si>
    <t>Tahun Pelajaran</t>
  </si>
  <si>
    <t>Nama Sekolah</t>
  </si>
  <si>
    <t>NPSN</t>
  </si>
  <si>
    <t>101031225001</t>
  </si>
  <si>
    <t>NSS</t>
  </si>
  <si>
    <t>20311583</t>
  </si>
  <si>
    <t>Telepon</t>
  </si>
  <si>
    <t>Kecamatan</t>
  </si>
  <si>
    <t>Kabupaten</t>
  </si>
  <si>
    <t>Provinsi</t>
  </si>
  <si>
    <t>Jawa Tengah</t>
  </si>
  <si>
    <t>Nama Dinas</t>
  </si>
  <si>
    <t>Nama Kepsek</t>
  </si>
  <si>
    <t>NIP</t>
  </si>
  <si>
    <t>PKn</t>
  </si>
  <si>
    <t>B. Ind.</t>
  </si>
  <si>
    <t>MTK</t>
  </si>
  <si>
    <t xml:space="preserve">IPS </t>
  </si>
  <si>
    <t>Sekolah</t>
  </si>
  <si>
    <t>Ya</t>
  </si>
  <si>
    <t>Tidak</t>
  </si>
  <si>
    <t>DATA SISWA</t>
  </si>
  <si>
    <t>INDUK</t>
  </si>
  <si>
    <t>NO PESERTA UJIAN</t>
  </si>
  <si>
    <t>NAMA SISWA</t>
  </si>
  <si>
    <t>TEMPAT</t>
  </si>
  <si>
    <t>TGL LAHIR</t>
  </si>
  <si>
    <t>NAMA AYAH</t>
  </si>
  <si>
    <t>NISN</t>
  </si>
  <si>
    <t>L</t>
  </si>
  <si>
    <t>P</t>
  </si>
  <si>
    <t>NO INDUK</t>
  </si>
  <si>
    <t>Nilai Minimal</t>
  </si>
  <si>
    <t>Nilai Maksimal</t>
  </si>
  <si>
    <t>PENGATURAN NILAI</t>
  </si>
  <si>
    <t>LOOKUP</t>
  </si>
  <si>
    <t>AA</t>
  </si>
  <si>
    <t>BB</t>
  </si>
  <si>
    <t>CC</t>
  </si>
  <si>
    <t>DD</t>
  </si>
  <si>
    <t>EE</t>
  </si>
  <si>
    <t>FF</t>
  </si>
  <si>
    <t>GG</t>
  </si>
  <si>
    <t>HH</t>
  </si>
  <si>
    <t>XX</t>
  </si>
  <si>
    <t>NO SALAH</t>
  </si>
  <si>
    <t>03</t>
  </si>
  <si>
    <t>21</t>
  </si>
  <si>
    <t>Bahasa Indonesia</t>
  </si>
  <si>
    <t>Giriharjo</t>
  </si>
  <si>
    <t>Puhpelem</t>
  </si>
  <si>
    <t>Wonogiri</t>
  </si>
  <si>
    <t>Dinas Pendidikan dan Kebudayaan</t>
  </si>
  <si>
    <t>NO KODE PESERTA UJIAN</t>
  </si>
  <si>
    <t>KKM</t>
  </si>
  <si>
    <t>:</t>
  </si>
  <si>
    <t>Alamat</t>
  </si>
  <si>
    <t>MAPEL</t>
  </si>
  <si>
    <t>Alamat Lengkap</t>
  </si>
  <si>
    <t>FILTER</t>
  </si>
  <si>
    <t>JENIS KELAMIN</t>
  </si>
  <si>
    <t>REKAP RAPOR</t>
  </si>
  <si>
    <t>TEORI</t>
  </si>
  <si>
    <t>PRAKTIK</t>
  </si>
  <si>
    <t>MULOK</t>
  </si>
  <si>
    <t>PENGATURAN NILAI RAPOR</t>
  </si>
  <si>
    <t>INPUT NILAI</t>
  </si>
  <si>
    <t>KEMENTERIAN PENDIDIKAN DAN KEBUDAYAAN 
REPUBLIK INDONESIA</t>
  </si>
  <si>
    <t>SEKOLAH DASAR</t>
  </si>
  <si>
    <t>nama</t>
  </si>
  <si>
    <t>tempat dan tanggal lahir</t>
  </si>
  <si>
    <t>nama orang tua/wali</t>
  </si>
  <si>
    <t>LULUS</t>
  </si>
  <si>
    <t>HAK CIPTA by budhi prayitno</t>
  </si>
  <si>
    <t>DAFTAR NILAI</t>
  </si>
  <si>
    <t>Nama</t>
  </si>
  <si>
    <t>Tempat dan Tanggal Lahir</t>
  </si>
  <si>
    <t>Nomor Induk Siswa</t>
  </si>
  <si>
    <t>Nomor Induk Siswa Nasional</t>
  </si>
  <si>
    <t>No</t>
  </si>
  <si>
    <t>Mata Pelajaran</t>
  </si>
  <si>
    <t>Nilai Ujian</t>
  </si>
  <si>
    <t>1.</t>
  </si>
  <si>
    <t>2.</t>
  </si>
  <si>
    <t>3.</t>
  </si>
  <si>
    <t>4.</t>
  </si>
  <si>
    <t>5.</t>
  </si>
  <si>
    <t>6.</t>
  </si>
  <si>
    <t>Muatan Lokal</t>
  </si>
  <si>
    <t>Rata-rata</t>
  </si>
  <si>
    <t>Pendidikan Pancasila dan Kewarganegaraan</t>
  </si>
  <si>
    <t>Matematika</t>
  </si>
  <si>
    <t>Ilmu Pengetahuan Alam</t>
  </si>
  <si>
    <t>Ilmu Pengetahuan Sosial</t>
  </si>
  <si>
    <t>Pedidikan Jasmani, Olahraga dan Kesehatan</t>
  </si>
  <si>
    <t>Jenjang sekolah</t>
  </si>
  <si>
    <t>Urut Pertama Siswa</t>
  </si>
  <si>
    <t>Validasi Pertama Siswa</t>
  </si>
  <si>
    <t>Tahun</t>
  </si>
  <si>
    <t>-</t>
  </si>
  <si>
    <t>Email</t>
  </si>
  <si>
    <t>sdn1giriharjo@gmail.com</t>
  </si>
  <si>
    <t>dari sekolah dasar setelah memenuhi seluruh kriteria sesuai dengan peraturan</t>
  </si>
  <si>
    <t>NAMA SD</t>
  </si>
  <si>
    <t>JUMLAH PESERTA</t>
  </si>
  <si>
    <t>MATA PELAJARAN</t>
  </si>
  <si>
    <t>NILAI</t>
  </si>
  <si>
    <t>&gt; 60,0</t>
  </si>
  <si>
    <t>60,0-69,9</t>
  </si>
  <si>
    <t>70,0-79,9</t>
  </si>
  <si>
    <t>80,0-89,9</t>
  </si>
  <si>
    <t>90,0-99,9</t>
  </si>
  <si>
    <t>RAPOR</t>
  </si>
  <si>
    <t>RATA-RATA</t>
  </si>
  <si>
    <t>PERINGKAT</t>
  </si>
  <si>
    <t>Tertinggi</t>
  </si>
  <si>
    <t>Terendah</t>
  </si>
  <si>
    <t>Rata2</t>
  </si>
  <si>
    <t>Pendidikan Agama dan Budi Pekerti</t>
  </si>
  <si>
    <t>Kelompok A</t>
  </si>
  <si>
    <t>Kelompok B</t>
  </si>
  <si>
    <t>Seni Budaya dan Prakarya</t>
  </si>
  <si>
    <t>by Budhi Prayitno</t>
  </si>
  <si>
    <t>Jenjang</t>
  </si>
  <si>
    <t>Kabupaten/Kota</t>
  </si>
  <si>
    <t>RANK</t>
  </si>
  <si>
    <t>Dimensi Akhlak Mulia</t>
  </si>
  <si>
    <t>Predikat Nilai</t>
  </si>
  <si>
    <t>Aspek Kepribadian</t>
  </si>
  <si>
    <t>Disiplin</t>
  </si>
  <si>
    <t>Bersih</t>
  </si>
  <si>
    <t>Tanggunjawab</t>
  </si>
  <si>
    <t>Sopan santun</t>
  </si>
  <si>
    <t>Hubungan Sosial</t>
  </si>
  <si>
    <t>Kejujuran</t>
  </si>
  <si>
    <t>Pelaks. Ibadah sosial</t>
  </si>
  <si>
    <t>Bertanggungjawab</t>
  </si>
  <si>
    <t>Percaya diri</t>
  </si>
  <si>
    <t>Saling Menghargai</t>
  </si>
  <si>
    <t>Bersikap Santun</t>
  </si>
  <si>
    <t>Kompetitif</t>
  </si>
  <si>
    <t>Total Skor</t>
  </si>
  <si>
    <t>Total Sskor</t>
  </si>
  <si>
    <t>NILAI KEPRIBADIAN DAN AKHLAK MULIA</t>
  </si>
  <si>
    <t>Peserta</t>
  </si>
  <si>
    <t>Mengikuti</t>
  </si>
  <si>
    <t>Tidak Lulus</t>
  </si>
  <si>
    <t>Lulus</t>
  </si>
  <si>
    <t>JML</t>
  </si>
  <si>
    <t>%</t>
  </si>
  <si>
    <t>A (Baik sekali)</t>
  </si>
  <si>
    <t>B (Baik)</t>
  </si>
  <si>
    <t>C (Cukup)</t>
  </si>
  <si>
    <t>E (Kurang sekali)</t>
  </si>
  <si>
    <t>D (Kurang)</t>
  </si>
  <si>
    <t>Nilai</t>
  </si>
  <si>
    <t>Keterangan</t>
  </si>
  <si>
    <t>0827</t>
  </si>
  <si>
    <t>SBDP</t>
  </si>
  <si>
    <t>KI 3</t>
  </si>
  <si>
    <t>KI 4</t>
  </si>
  <si>
    <t>RT2</t>
  </si>
  <si>
    <t>Agama</t>
  </si>
  <si>
    <t>KI</t>
  </si>
  <si>
    <t>Data</t>
  </si>
  <si>
    <t>Ket:</t>
  </si>
  <si>
    <t>1. Kosongi pada bagian KI 4 bagi kelas Kurikulum 2006</t>
  </si>
  <si>
    <t>KKM US</t>
  </si>
  <si>
    <t>LAPORAN KILAT HASIL US</t>
  </si>
  <si>
    <t>Budhi Prayitno</t>
  </si>
  <si>
    <t>SURAT KETERANGAN LULUS SEKOLAH DASAR</t>
  </si>
  <si>
    <t>Nama Orang Tua/Wali</t>
  </si>
  <si>
    <t>Nilai Ujian Sekolah</t>
  </si>
  <si>
    <t>Tanggal Rapor</t>
  </si>
  <si>
    <t>Tanggal Lulus</t>
  </si>
  <si>
    <t>No SK Lulus</t>
  </si>
  <si>
    <t>No SK Rapor</t>
  </si>
  <si>
    <t>dari sekolah dasar, setelah memenuhi seluruh kriteria sesuai dengan peraturan perundang-undangan, dengan rincian nilai sebagai berikut:</t>
  </si>
  <si>
    <t>(Kurikulum 2013)</t>
  </si>
  <si>
    <t>Bahasa Jawa</t>
  </si>
  <si>
    <t>SURAT KETERANGAN NILAI RAPOR SEKOLAH DASAR</t>
  </si>
  <si>
    <t>Demikian Surat Keterangan ini untuk dipergunakan sebagaimana mestinya, dan kepada yang berkepentingan untuk menjadikan maklum.</t>
  </si>
  <si>
    <t>PREDIKAT</t>
  </si>
  <si>
    <t>TIDAK</t>
  </si>
  <si>
    <t>Kelurahan</t>
  </si>
  <si>
    <t>CETAK</t>
  </si>
  <si>
    <t>RAPOR KELAS 4 SEMESTER 1</t>
  </si>
  <si>
    <t>RAPOR KELAS 4 SEMESTER 2</t>
  </si>
  <si>
    <t>RAPOR KELAS 5 SEMESTER 1</t>
  </si>
  <si>
    <t>RAPOR KELAS 6 SEMESTER 1</t>
  </si>
  <si>
    <t>RAPOR KELAS 6 SEMESTER 2</t>
  </si>
  <si>
    <t>REKAP NILAI US</t>
  </si>
  <si>
    <t>DRAFT IJAZAH</t>
  </si>
  <si>
    <t>Ketarangan: HALAMAN INI HANYA UNTUK BANTUAN PENULISAN IJAZAH, TIDAK UNTUK DIBERIKAN PADA SISWA.</t>
  </si>
  <si>
    <t xml:space="preserve">                     Budhi Prayitno &amp; Komunitas Guru Wonogiri</t>
  </si>
  <si>
    <t>MENGGUNAKAN APLIKASI INI BERARTI SETUJU DENGAN KETENTUAN DIATAS.</t>
  </si>
  <si>
    <t>1. Aplikasi ini bisa tidak relevan untuk kabupaten luar wonogiri, CEK DULU SEBELUM MENGGUNAKAN.</t>
  </si>
  <si>
    <t xml:space="preserve">Silakan </t>
  </si>
  <si>
    <t>Atur sesuaikan</t>
  </si>
  <si>
    <t>halaman ini</t>
  </si>
  <si>
    <t>UPDATE !</t>
  </si>
  <si>
    <t>Nilai Maksimal ijazah</t>
  </si>
  <si>
    <t>2. Aplikasi ini dibuat dengan juknis dan masukkan dari komunitas guru di Wonogiri.</t>
  </si>
  <si>
    <t>TIDAK LULUS</t>
  </si>
  <si>
    <t>NO SK LULUS DAN RAPOR</t>
  </si>
  <si>
    <t>Pendidikan Jasmani, Olahraga dan Kesehatan</t>
  </si>
  <si>
    <t>NILAI US DAERAH</t>
  </si>
  <si>
    <t>Peng</t>
  </si>
  <si>
    <t>Ketr</t>
  </si>
  <si>
    <t>Rerata</t>
  </si>
  <si>
    <t>Kelas IV</t>
  </si>
  <si>
    <t>Semester 1</t>
  </si>
  <si>
    <t>Semester 2</t>
  </si>
  <si>
    <t>Kelas V</t>
  </si>
  <si>
    <t>Kelas VI</t>
  </si>
  <si>
    <t>SBdP</t>
  </si>
  <si>
    <t>Pendidikan Jasmani, Olahraga, dan Kesehatan</t>
  </si>
  <si>
    <t>PERINGKAT KELAS</t>
  </si>
  <si>
    <t>Jml</t>
  </si>
  <si>
    <t>---Tahun ke 11 share aplikasi gratis ---</t>
  </si>
  <si>
    <t>4. Segala sesuatu akibat aplikasi ini sepenuhnya tanggungjawab pengguna.</t>
  </si>
  <si>
    <t>REKAP RAPOR PER SEMESTER UNTUK DATABASE SISTEM PPDB</t>
  </si>
  <si>
    <t>7. Tidak ada gading yang tak retak, kritik dan saran kami harapkan.</t>
  </si>
  <si>
    <t>8. Terimakasih untuk semua rekan atas terselesaikannya aplikasi ini.</t>
  </si>
  <si>
    <t>5. Dilarang membuat versi turunan dari aplikasi ini untuk kepentingan apapun.</t>
  </si>
  <si>
    <t xml:space="preserve">3. Aplikasi ini hanya ALTERNATIF anda dapat menggunakan aplikasi lain, karena banyak aplikasi yang mungkin  lebih baik dari aplikasi sederhana ini. </t>
  </si>
  <si>
    <t>6. Cek manual setelah selesai.</t>
  </si>
  <si>
    <t>TPKPP Kab. Wonogiri</t>
  </si>
  <si>
    <t>SD</t>
  </si>
  <si>
    <t>Kode Pos</t>
  </si>
  <si>
    <t>57698</t>
  </si>
  <si>
    <t>Pangkat</t>
  </si>
  <si>
    <t>Pembina</t>
  </si>
  <si>
    <t>Penata</t>
  </si>
  <si>
    <t>Penata Tk. I</t>
  </si>
  <si>
    <t>Pembina Tk. I</t>
  </si>
  <si>
    <t>Pembina Utama Muda</t>
  </si>
  <si>
    <t>Pembina Utama Madya</t>
  </si>
  <si>
    <t>Pembina Utama</t>
  </si>
  <si>
    <t>Jalan Giriharjo-Sarangan</t>
  </si>
  <si>
    <t>NILAI TERENDAH DAN TERTINGGI NILAI HASIL US TEORI</t>
  </si>
  <si>
    <t>RENTANG NILAI HASIL US TEORI</t>
  </si>
  <si>
    <t>KELAS</t>
  </si>
  <si>
    <t>RAPOR KELAS 5 SEMESTER 2</t>
  </si>
  <si>
    <t>PERINGKAT 50%</t>
  </si>
  <si>
    <t>1</t>
  </si>
  <si>
    <t>Peringkat</t>
  </si>
  <si>
    <t>APLIKASI DI PROTEKSI AGAR TIDAK ADA FORMULA YG TERHAPUS</t>
  </si>
  <si>
    <t>MOHON TIDAK MENANYAKAN PASSWORD</t>
  </si>
  <si>
    <t>Kepala Sekolah,</t>
  </si>
  <si>
    <t>perundang-undangan yang diumumkan pada tanggal 15 Juni 2021.</t>
  </si>
  <si>
    <t xml:space="preserve"> </t>
  </si>
  <si>
    <t>Jumlah</t>
  </si>
  <si>
    <t>Rapor</t>
  </si>
  <si>
    <t>1 digit di belakang koma</t>
  </si>
  <si>
    <t>2 digit di belakang koma</t>
  </si>
  <si>
    <t>3 digit di belakang koma</t>
  </si>
  <si>
    <t>Tidak dibulatkan</t>
  </si>
  <si>
    <t>Bulat tanpa koma</t>
  </si>
  <si>
    <t>Digit belakang koma NA</t>
  </si>
  <si>
    <t>PEMBULATAN NILAI PPDB</t>
  </si>
  <si>
    <t>PENGATURAN NILAI US DAN IJAZAH</t>
  </si>
  <si>
    <t>Digit belakang koma rata-rata NA</t>
  </si>
  <si>
    <t>2021/2022</t>
  </si>
  <si>
    <t>423.7/xxxx</t>
  </si>
  <si>
    <t>421.2/xxx</t>
  </si>
  <si>
    <t>Trenggalek</t>
  </si>
  <si>
    <t>Bekasi</t>
  </si>
  <si>
    <t>Sekolah Dasar</t>
  </si>
  <si>
    <t>No Fixed</t>
  </si>
  <si>
    <t>Fixed</t>
  </si>
  <si>
    <t>UPDATE: 07/06/2022</t>
  </si>
  <si>
    <t>Negeri 1 Giriharjo</t>
  </si>
  <si>
    <t>Nama Sekolah (KOP)</t>
  </si>
  <si>
    <t>SD Negeri 1 Giriharjo Puhpelem</t>
  </si>
</sst>
</file>

<file path=xl/styles.xml><?xml version="1.0" encoding="utf-8"?>
<styleSheet xmlns="http://schemas.openxmlformats.org/spreadsheetml/2006/main">
  <numFmts count="6">
    <numFmt numFmtId="164" formatCode="&quot;NIP&quot;\ @"/>
    <numFmt numFmtId="165" formatCode="@\ &quot;,&quot;"/>
    <numFmt numFmtId="166" formatCode="[$-421]dd\ mmmm\ yyyy;@"/>
    <numFmt numFmtId="167" formatCode="0.0"/>
    <numFmt numFmtId="168" formatCode="[$-421]d\ mmmm\ yyyy;@"/>
    <numFmt numFmtId="169" formatCode="&quot;NIP.&quot;\ @"/>
  </numFmts>
  <fonts count="66"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ahoma"/>
      <family val="2"/>
    </font>
    <font>
      <sz val="11"/>
      <name val="Tahoma"/>
      <family val="2"/>
    </font>
    <font>
      <sz val="11"/>
      <name val="Calibri"/>
      <family val="2"/>
      <charset val="1"/>
      <scheme val="minor"/>
    </font>
    <font>
      <sz val="11"/>
      <color theme="0"/>
      <name val="Tahoma"/>
      <family val="2"/>
    </font>
    <font>
      <sz val="20"/>
      <name val="Arial"/>
      <family val="2"/>
    </font>
    <font>
      <b/>
      <sz val="2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Tahoma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0"/>
      <name val="Calibri"/>
      <family val="2"/>
      <charset val="1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20"/>
      <color theme="1"/>
      <name val="Adobe Ming Std L"/>
      <family val="1"/>
      <charset val="128"/>
    </font>
    <font>
      <sz val="11"/>
      <color theme="2" tint="-9.9978637043366805E-2"/>
      <name val="Calibri"/>
      <family val="2"/>
      <charset val="1"/>
      <scheme val="minor"/>
    </font>
    <font>
      <sz val="12"/>
      <name val="Arial"/>
      <family val="2"/>
    </font>
    <font>
      <b/>
      <sz val="14"/>
      <name val="Arial"/>
      <family val="2"/>
    </font>
    <font>
      <b/>
      <sz val="24"/>
      <color rgb="FFFF0000"/>
      <name val="Arial"/>
      <family val="2"/>
    </font>
    <font>
      <b/>
      <sz val="24"/>
      <name val="Adobe Garamond Pro Bold"/>
      <family val="1"/>
    </font>
    <font>
      <b/>
      <sz val="12"/>
      <name val="Arial"/>
      <family val="2"/>
    </font>
    <font>
      <b/>
      <sz val="18"/>
      <name val="Arial"/>
      <family val="2"/>
    </font>
    <font>
      <b/>
      <u/>
      <sz val="12"/>
      <name val="Arial"/>
      <family val="2"/>
    </font>
    <font>
      <i/>
      <sz val="8"/>
      <name val="Arial"/>
      <family val="2"/>
    </font>
    <font>
      <sz val="12"/>
      <color rgb="FFFF0000"/>
      <name val="Arial"/>
      <family val="2"/>
    </font>
    <font>
      <sz val="7"/>
      <name val="Arial"/>
      <family val="2"/>
    </font>
    <font>
      <sz val="9"/>
      <name val="Arial"/>
      <family val="2"/>
    </font>
    <font>
      <i/>
      <sz val="6"/>
      <name val="Arial"/>
      <family val="2"/>
    </font>
    <font>
      <b/>
      <sz val="17"/>
      <name val="Arial"/>
      <family val="2"/>
    </font>
    <font>
      <b/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charset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1"/>
      <color theme="1"/>
      <name val="Times New Roman"/>
      <family val="1"/>
    </font>
    <font>
      <sz val="12"/>
      <color theme="0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9"/>
      <color indexed="81"/>
      <name val="Tahoma"/>
      <family val="2"/>
    </font>
    <font>
      <sz val="12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sz val="14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b/>
      <sz val="11"/>
      <color rgb="FFFF0000"/>
      <name val="Calibri"/>
      <family val="2"/>
      <scheme val="minor"/>
    </font>
    <font>
      <i/>
      <sz val="18"/>
      <color rgb="FFFF0000"/>
      <name val="Calibri"/>
      <family val="2"/>
      <scheme val="minor"/>
    </font>
    <font>
      <sz val="8"/>
      <name val="Calibri"/>
      <family val="2"/>
      <charset val="1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u/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92D050"/>
        </stop>
      </gradientFill>
    </fill>
    <fill>
      <gradientFill degree="270">
        <stop position="0">
          <color theme="0"/>
        </stop>
        <stop position="1">
          <color rgb="FF00B050"/>
        </stop>
      </gradientFill>
    </fill>
    <fill>
      <patternFill patternType="lightTrellis">
        <bgColor theme="8" tint="0.59999389629810485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5456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</borders>
  <cellStyleXfs count="4">
    <xf numFmtId="0" fontId="0" fillId="0" borderId="0"/>
    <xf numFmtId="0" fontId="9" fillId="0" borderId="0"/>
    <xf numFmtId="0" fontId="10" fillId="0" borderId="0"/>
    <xf numFmtId="0" fontId="36" fillId="0" borderId="0" applyNumberFormat="0" applyFill="0" applyBorder="0" applyAlignment="0" applyProtection="0">
      <alignment vertical="top"/>
      <protection locked="0"/>
    </xf>
  </cellStyleXfs>
  <cellXfs count="62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  <protection locked="0"/>
    </xf>
    <xf numFmtId="0" fontId="3" fillId="6" borderId="0" xfId="0" applyFont="1" applyFill="1" applyBorder="1" applyAlignment="1">
      <alignment horizontal="left"/>
    </xf>
    <xf numFmtId="0" fontId="6" fillId="6" borderId="0" xfId="0" applyFont="1" applyFill="1" applyBorder="1" applyAlignment="1">
      <alignment horizontal="right" indent="1"/>
    </xf>
    <xf numFmtId="0" fontId="0" fillId="0" borderId="1" xfId="0" applyBorder="1"/>
    <xf numFmtId="0" fontId="0" fillId="7" borderId="1" xfId="0" applyFill="1" applyBorder="1" applyAlignment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3" fillId="6" borderId="1" xfId="0" applyFont="1" applyFill="1" applyBorder="1" applyAlignment="1" applyProtection="1">
      <alignment vertical="center" wrapText="1"/>
    </xf>
    <xf numFmtId="0" fontId="3" fillId="6" borderId="1" xfId="0" applyFont="1" applyFill="1" applyBorder="1" applyAlignment="1" applyProtection="1">
      <alignment horizontal="right" vertical="center"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6" borderId="6" xfId="0" applyFont="1" applyFill="1" applyBorder="1" applyAlignment="1" applyProtection="1">
      <alignment horizontal="left"/>
    </xf>
    <xf numFmtId="0" fontId="6" fillId="6" borderId="2" xfId="0" applyFont="1" applyFill="1" applyBorder="1" applyAlignment="1" applyProtection="1">
      <alignment horizontal="right" indent="1"/>
    </xf>
    <xf numFmtId="0" fontId="4" fillId="9" borderId="1" xfId="0" applyFont="1" applyFill="1" applyBorder="1" applyAlignment="1" applyProtection="1">
      <alignment horizontal="left" vertical="center"/>
    </xf>
    <xf numFmtId="0" fontId="5" fillId="9" borderId="1" xfId="0" applyFont="1" applyFill="1" applyBorder="1" applyProtection="1"/>
    <xf numFmtId="0" fontId="0" fillId="0" borderId="0" xfId="0" applyNumberFormat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8" borderId="4" xfId="0" applyNumberForma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9" borderId="5" xfId="0" applyFont="1" applyFill="1" applyBorder="1" applyAlignment="1" applyProtection="1">
      <alignment vertical="top"/>
    </xf>
    <xf numFmtId="0" fontId="0" fillId="4" borderId="5" xfId="0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Fill="1" applyProtection="1"/>
    <xf numFmtId="0" fontId="7" fillId="0" borderId="0" xfId="0" applyFont="1" applyFill="1" applyProtection="1"/>
    <xf numFmtId="0" fontId="7" fillId="0" borderId="0" xfId="0" applyFont="1" applyFill="1" applyAlignment="1" applyProtection="1">
      <alignment horizontal="center" vertical="center"/>
    </xf>
    <xf numFmtId="14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Protection="1"/>
    <xf numFmtId="14" fontId="0" fillId="0" borderId="0" xfId="0" applyNumberFormat="1" applyAlignment="1" applyProtection="1">
      <alignment horizontal="center" vertical="center"/>
    </xf>
    <xf numFmtId="49" fontId="0" fillId="0" borderId="0" xfId="0" applyNumberFormat="1" applyBorder="1" applyProtection="1"/>
    <xf numFmtId="0" fontId="2" fillId="10" borderId="1" xfId="0" applyFont="1" applyFill="1" applyBorder="1" applyAlignment="1" applyProtection="1">
      <alignment horizontal="center" vertical="center"/>
    </xf>
    <xf numFmtId="14" fontId="2" fillId="10" borderId="1" xfId="0" applyNumberFormat="1" applyFont="1" applyFill="1" applyBorder="1" applyAlignment="1" applyProtection="1">
      <alignment horizontal="center" vertical="center"/>
    </xf>
    <xf numFmtId="49" fontId="0" fillId="0" borderId="0" xfId="0" applyNumberFormat="1" applyProtection="1"/>
    <xf numFmtId="0" fontId="2" fillId="2" borderId="5" xfId="0" applyFont="1" applyFill="1" applyBorder="1" applyAlignment="1">
      <alignment horizontal="center" vertical="center"/>
    </xf>
    <xf numFmtId="0" fontId="0" fillId="0" borderId="4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16" fillId="8" borderId="5" xfId="0" applyFont="1" applyFill="1" applyBorder="1" applyAlignment="1" applyProtection="1">
      <alignment horizontal="center" vertical="center"/>
    </xf>
    <xf numFmtId="0" fontId="16" fillId="12" borderId="5" xfId="0" applyFont="1" applyFill="1" applyBorder="1" applyAlignment="1" applyProtection="1">
      <alignment horizontal="center" vertical="center"/>
    </xf>
    <xf numFmtId="0" fontId="16" fillId="13" borderId="5" xfId="0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8" borderId="4" xfId="0" applyNumberFormat="1" applyFill="1" applyBorder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0" fillId="15" borderId="3" xfId="0" applyFill="1" applyBorder="1" applyProtection="1"/>
    <xf numFmtId="0" fontId="0" fillId="15" borderId="0" xfId="0" applyFill="1" applyBorder="1" applyProtection="1"/>
    <xf numFmtId="0" fontId="20" fillId="17" borderId="0" xfId="0" applyFont="1" applyFill="1" applyAlignment="1" applyProtection="1">
      <alignment vertical="center"/>
      <protection hidden="1"/>
    </xf>
    <xf numFmtId="0" fontId="20" fillId="17" borderId="0" xfId="0" applyFont="1" applyFill="1" applyAlignment="1" applyProtection="1">
      <alignment horizontal="center" vertical="center" wrapText="1"/>
      <protection hidden="1"/>
    </xf>
    <xf numFmtId="0" fontId="20" fillId="0" borderId="0" xfId="0" applyFont="1" applyFill="1" applyAlignment="1" applyProtection="1">
      <alignment vertical="center"/>
      <protection hidden="1"/>
    </xf>
    <xf numFmtId="0" fontId="20" fillId="0" borderId="0" xfId="0" applyFont="1" applyFill="1" applyAlignment="1" applyProtection="1">
      <alignment horizontal="center" vertical="center" wrapText="1"/>
      <protection hidden="1"/>
    </xf>
    <xf numFmtId="0" fontId="21" fillId="17" borderId="0" xfId="0" applyFont="1" applyFill="1" applyAlignment="1" applyProtection="1">
      <alignment vertical="center"/>
      <protection hidden="1"/>
    </xf>
    <xf numFmtId="0" fontId="21" fillId="0" borderId="0" xfId="0" applyFont="1" applyFill="1" applyAlignment="1" applyProtection="1">
      <alignment vertical="center"/>
      <protection hidden="1"/>
    </xf>
    <xf numFmtId="165" fontId="24" fillId="0" borderId="0" xfId="0" applyNumberFormat="1" applyFont="1" applyAlignment="1" applyProtection="1">
      <alignment horizontal="left" vertical="center"/>
      <protection hidden="1"/>
    </xf>
    <xf numFmtId="166" fontId="24" fillId="0" borderId="0" xfId="0" applyNumberFormat="1" applyFont="1" applyAlignment="1" applyProtection="1">
      <alignment vertical="center"/>
      <protection hidden="1"/>
    </xf>
    <xf numFmtId="0" fontId="20" fillId="0" borderId="0" xfId="0" applyFont="1" applyFill="1" applyAlignment="1" applyProtection="1">
      <alignment vertical="top" wrapText="1"/>
      <protection hidden="1"/>
    </xf>
    <xf numFmtId="0" fontId="20" fillId="17" borderId="0" xfId="0" applyFont="1" applyFill="1" applyAlignment="1" applyProtection="1">
      <alignment vertical="top" wrapText="1"/>
      <protection hidden="1"/>
    </xf>
    <xf numFmtId="0" fontId="20" fillId="0" borderId="0" xfId="0" applyFont="1" applyFill="1" applyAlignment="1" applyProtection="1">
      <alignment horizontal="left" vertical="top" wrapText="1"/>
      <protection hidden="1"/>
    </xf>
    <xf numFmtId="0" fontId="20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0" fillId="0" borderId="0" xfId="0" applyNumberFormat="1" applyFont="1" applyAlignment="1" applyProtection="1">
      <alignment horizontal="left" vertical="center"/>
      <protection hidden="1"/>
    </xf>
    <xf numFmtId="0" fontId="20" fillId="17" borderId="0" xfId="0" applyFont="1" applyFill="1" applyBorder="1" applyAlignment="1" applyProtection="1">
      <alignment vertical="center"/>
      <protection hidden="1"/>
    </xf>
    <xf numFmtId="0" fontId="20" fillId="0" borderId="0" xfId="0" applyFont="1" applyAlignment="1" applyProtection="1">
      <alignment horizontal="left" vertical="center"/>
      <protection hidden="1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20" fillId="17" borderId="0" xfId="0" applyFont="1" applyFill="1" applyBorder="1" applyAlignment="1" applyProtection="1">
      <alignment vertical="center" wrapText="1"/>
      <protection hidden="1"/>
    </xf>
    <xf numFmtId="0" fontId="20" fillId="17" borderId="0" xfId="0" applyFont="1" applyFill="1" applyBorder="1" applyAlignment="1" applyProtection="1">
      <alignment vertical="top" wrapText="1"/>
      <protection hidden="1"/>
    </xf>
    <xf numFmtId="0" fontId="20" fillId="0" borderId="0" xfId="0" applyFont="1" applyFill="1" applyAlignment="1" applyProtection="1">
      <alignment vertical="center" wrapText="1"/>
      <protection hidden="1"/>
    </xf>
    <xf numFmtId="2" fontId="20" fillId="0" borderId="0" xfId="0" applyNumberFormat="1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20" fillId="0" borderId="0" xfId="0" applyFont="1" applyBorder="1" applyAlignment="1" applyProtection="1">
      <alignment vertical="center"/>
      <protection hidden="1"/>
    </xf>
    <xf numFmtId="0" fontId="20" fillId="0" borderId="0" xfId="0" applyFont="1" applyBorder="1" applyAlignment="1" applyProtection="1">
      <alignment horizontal="left" vertical="center"/>
      <protection hidden="1"/>
    </xf>
    <xf numFmtId="0" fontId="26" fillId="0" borderId="0" xfId="0" applyFont="1" applyBorder="1" applyAlignment="1" applyProtection="1">
      <alignment vertical="center"/>
      <protection hidden="1"/>
    </xf>
    <xf numFmtId="0" fontId="20" fillId="0" borderId="0" xfId="0" applyFont="1" applyFill="1" applyAlignment="1" applyProtection="1">
      <alignment horizontal="left" vertical="center"/>
      <protection hidden="1"/>
    </xf>
    <xf numFmtId="0" fontId="20" fillId="17" borderId="0" xfId="0" applyFont="1" applyFill="1" applyAlignment="1" applyProtection="1">
      <alignment horizontal="left" vertical="center"/>
      <protection hidden="1"/>
    </xf>
    <xf numFmtId="0" fontId="26" fillId="0" borderId="0" xfId="0" applyFont="1" applyBorder="1" applyAlignment="1" applyProtection="1">
      <alignment horizontal="left" vertical="center"/>
      <protection hidden="1"/>
    </xf>
    <xf numFmtId="164" fontId="20" fillId="0" borderId="0" xfId="0" applyNumberFormat="1" applyFont="1" applyBorder="1" applyAlignment="1" applyProtection="1">
      <alignment vertical="center"/>
      <protection hidden="1"/>
    </xf>
    <xf numFmtId="0" fontId="27" fillId="17" borderId="0" xfId="0" applyFont="1" applyFill="1" applyAlignment="1" applyProtection="1">
      <alignment vertical="center"/>
      <protection hidden="1"/>
    </xf>
    <xf numFmtId="0" fontId="28" fillId="17" borderId="0" xfId="0" applyFont="1" applyFill="1" applyAlignment="1" applyProtection="1">
      <alignment vertical="center"/>
      <protection hidden="1"/>
    </xf>
    <xf numFmtId="0" fontId="20" fillId="18" borderId="0" xfId="0" applyFont="1" applyFill="1" applyAlignment="1" applyProtection="1">
      <alignment vertical="center"/>
      <protection hidden="1"/>
    </xf>
    <xf numFmtId="0" fontId="20" fillId="18" borderId="0" xfId="0" applyFont="1" applyFill="1" applyAlignment="1" applyProtection="1">
      <alignment horizontal="center" vertical="center" wrapText="1"/>
      <protection hidden="1"/>
    </xf>
    <xf numFmtId="0" fontId="21" fillId="18" borderId="0" xfId="0" applyFont="1" applyFill="1" applyAlignment="1" applyProtection="1">
      <alignment vertical="center"/>
      <protection hidden="1"/>
    </xf>
    <xf numFmtId="0" fontId="20" fillId="19" borderId="0" xfId="0" applyFont="1" applyFill="1" applyAlignment="1" applyProtection="1">
      <alignment vertical="center"/>
      <protection hidden="1"/>
    </xf>
    <xf numFmtId="0" fontId="24" fillId="18" borderId="0" xfId="0" applyFont="1" applyFill="1" applyAlignment="1" applyProtection="1">
      <alignment vertical="center"/>
      <protection hidden="1"/>
    </xf>
    <xf numFmtId="166" fontId="24" fillId="18" borderId="0" xfId="0" applyNumberFormat="1" applyFont="1" applyFill="1" applyAlignment="1" applyProtection="1">
      <alignment vertical="center"/>
      <protection hidden="1"/>
    </xf>
    <xf numFmtId="0" fontId="20" fillId="19" borderId="0" xfId="0" applyFont="1" applyFill="1" applyBorder="1" applyAlignment="1" applyProtection="1">
      <alignment vertical="center"/>
      <protection hidden="1"/>
    </xf>
    <xf numFmtId="0" fontId="20" fillId="18" borderId="0" xfId="0" applyFont="1" applyFill="1" applyBorder="1" applyAlignment="1" applyProtection="1">
      <alignment vertical="center"/>
      <protection locked="0" hidden="1"/>
    </xf>
    <xf numFmtId="0" fontId="24" fillId="18" borderId="0" xfId="0" applyFont="1" applyFill="1" applyAlignment="1" applyProtection="1">
      <alignment horizontal="left" vertical="center"/>
      <protection hidden="1"/>
    </xf>
    <xf numFmtId="0" fontId="20" fillId="19" borderId="0" xfId="0" applyFont="1" applyFill="1" applyBorder="1" applyAlignment="1" applyProtection="1">
      <alignment vertical="center"/>
      <protection locked="0" hidden="1"/>
    </xf>
    <xf numFmtId="0" fontId="20" fillId="18" borderId="0" xfId="0" applyFont="1" applyFill="1" applyBorder="1" applyAlignment="1" applyProtection="1">
      <alignment vertical="center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20" fillId="18" borderId="0" xfId="0" applyFont="1" applyFill="1" applyAlignment="1" applyProtection="1">
      <alignment vertical="center"/>
      <protection locked="0" hidden="1"/>
    </xf>
    <xf numFmtId="0" fontId="20" fillId="19" borderId="0" xfId="0" applyFont="1" applyFill="1" applyAlignment="1" applyProtection="1">
      <alignment vertical="center"/>
      <protection locked="0" hidden="1"/>
    </xf>
    <xf numFmtId="0" fontId="20" fillId="8" borderId="1" xfId="0" applyFont="1" applyFill="1" applyBorder="1" applyAlignment="1" applyProtection="1">
      <alignment vertical="center"/>
      <protection hidden="1"/>
    </xf>
    <xf numFmtId="0" fontId="26" fillId="0" borderId="0" xfId="0" applyFont="1" applyBorder="1" applyAlignment="1" applyProtection="1">
      <alignment vertical="center" wrapText="1"/>
      <protection hidden="1"/>
    </xf>
    <xf numFmtId="0" fontId="20" fillId="0" borderId="0" xfId="0" applyFont="1" applyBorder="1" applyAlignment="1" applyProtection="1">
      <alignment vertical="center" wrapText="1"/>
      <protection hidden="1"/>
    </xf>
    <xf numFmtId="0" fontId="30" fillId="18" borderId="0" xfId="0" applyFont="1" applyFill="1" applyAlignment="1" applyProtection="1">
      <alignment vertical="center"/>
      <protection hidden="1"/>
    </xf>
    <xf numFmtId="0" fontId="31" fillId="18" borderId="0" xfId="0" applyFont="1" applyFill="1" applyAlignment="1" applyProtection="1">
      <alignment vertical="center"/>
      <protection hidden="1"/>
    </xf>
    <xf numFmtId="166" fontId="20" fillId="0" borderId="0" xfId="0" applyNumberFormat="1" applyFont="1" applyFill="1" applyAlignment="1" applyProtection="1">
      <alignment horizontal="left" vertical="center"/>
      <protection hidden="1"/>
    </xf>
    <xf numFmtId="0" fontId="0" fillId="0" borderId="0" xfId="0" applyFill="1" applyProtection="1"/>
    <xf numFmtId="0" fontId="20" fillId="0" borderId="0" xfId="0" applyNumberFormat="1" applyFont="1" applyFill="1" applyAlignment="1" applyProtection="1">
      <alignment vertical="center"/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20" fillId="2" borderId="0" xfId="0" applyFont="1" applyFill="1" applyAlignment="1" applyProtection="1">
      <alignment vertical="center"/>
      <protection hidden="1"/>
    </xf>
    <xf numFmtId="0" fontId="21" fillId="2" borderId="0" xfId="0" applyFont="1" applyFill="1" applyAlignment="1" applyProtection="1">
      <alignment vertical="center"/>
      <protection hidden="1"/>
    </xf>
    <xf numFmtId="0" fontId="24" fillId="2" borderId="0" xfId="0" applyFont="1" applyFill="1" applyAlignment="1" applyProtection="1">
      <alignment vertical="center"/>
      <protection hidden="1"/>
    </xf>
    <xf numFmtId="0" fontId="24" fillId="2" borderId="0" xfId="0" applyNumberFormat="1" applyFont="1" applyFill="1" applyAlignment="1" applyProtection="1">
      <alignment horizontal="left" vertical="center"/>
      <protection hidden="1"/>
    </xf>
    <xf numFmtId="0" fontId="24" fillId="2" borderId="0" xfId="0" applyNumberFormat="1" applyFont="1" applyFill="1" applyAlignment="1" applyProtection="1">
      <alignment vertical="center"/>
      <protection hidden="1"/>
    </xf>
    <xf numFmtId="166" fontId="24" fillId="2" borderId="0" xfId="0" applyNumberFormat="1" applyFont="1" applyFill="1" applyAlignment="1" applyProtection="1">
      <alignment vertical="center"/>
      <protection hidden="1"/>
    </xf>
    <xf numFmtId="0" fontId="24" fillId="2" borderId="0" xfId="0" applyFont="1" applyFill="1" applyAlignment="1" applyProtection="1">
      <alignment horizontal="left" vertical="center"/>
      <protection hidden="1"/>
    </xf>
    <xf numFmtId="0" fontId="20" fillId="2" borderId="0" xfId="0" applyFont="1" applyFill="1" applyAlignment="1" applyProtection="1">
      <alignment horizontal="center" vertical="center" wrapText="1"/>
      <protection hidden="1"/>
    </xf>
    <xf numFmtId="0" fontId="24" fillId="2" borderId="4" xfId="0" applyFont="1" applyFill="1" applyBorder="1" applyAlignment="1" applyProtection="1">
      <alignment horizontal="center" vertical="center" wrapText="1"/>
      <protection hidden="1"/>
    </xf>
    <xf numFmtId="0" fontId="20" fillId="2" borderId="0" xfId="0" applyFont="1" applyFill="1" applyBorder="1" applyAlignment="1" applyProtection="1">
      <alignment vertical="center"/>
      <protection hidden="1"/>
    </xf>
    <xf numFmtId="0" fontId="26" fillId="2" borderId="0" xfId="0" applyFont="1" applyFill="1" applyBorder="1" applyAlignment="1" applyProtection="1">
      <alignment vertical="center" wrapText="1"/>
      <protection hidden="1"/>
    </xf>
    <xf numFmtId="0" fontId="20" fillId="2" borderId="0" xfId="0" applyFont="1" applyFill="1" applyBorder="1" applyAlignment="1" applyProtection="1">
      <alignment vertical="center" wrapText="1"/>
      <protection hidden="1"/>
    </xf>
    <xf numFmtId="0" fontId="29" fillId="2" borderId="0" xfId="0" applyFont="1" applyFill="1" applyAlignment="1" applyProtection="1">
      <alignment vertical="center"/>
      <protection hidden="1"/>
    </xf>
    <xf numFmtId="0" fontId="30" fillId="2" borderId="0" xfId="0" applyFont="1" applyFill="1" applyAlignment="1" applyProtection="1">
      <alignment vertical="center"/>
      <protection hidden="1"/>
    </xf>
    <xf numFmtId="0" fontId="30" fillId="2" borderId="0" xfId="0" applyFont="1" applyFill="1" applyAlignment="1" applyProtection="1">
      <alignment horizontal="center" vertical="center" wrapText="1"/>
      <protection hidden="1"/>
    </xf>
    <xf numFmtId="0" fontId="4" fillId="9" borderId="1" xfId="0" applyFont="1" applyFill="1" applyBorder="1" applyAlignment="1" applyProtection="1">
      <alignment horizontal="left" vertical="center"/>
      <protection locked="0"/>
    </xf>
    <xf numFmtId="0" fontId="5" fillId="9" borderId="1" xfId="0" applyFont="1" applyFill="1" applyBorder="1" applyProtection="1">
      <protection locked="0"/>
    </xf>
    <xf numFmtId="0" fontId="20" fillId="0" borderId="0" xfId="0" applyFont="1" applyFill="1" applyAlignment="1" applyProtection="1">
      <alignment horizontal="left" vertical="center" wrapText="1"/>
      <protection hidden="1"/>
    </xf>
    <xf numFmtId="168" fontId="4" fillId="0" borderId="1" xfId="0" applyNumberFormat="1" applyFont="1" applyFill="1" applyBorder="1" applyAlignment="1" applyProtection="1">
      <alignment horizontal="left" vertical="center"/>
      <protection locked="0"/>
    </xf>
    <xf numFmtId="49" fontId="36" fillId="0" borderId="1" xfId="3" applyNumberFormat="1" applyFill="1" applyBorder="1" applyAlignment="1" applyProtection="1">
      <alignment horizontal="left" vertical="center"/>
      <protection locked="0"/>
    </xf>
    <xf numFmtId="0" fontId="35" fillId="0" borderId="0" xfId="0" applyFont="1"/>
    <xf numFmtId="0" fontId="20" fillId="0" borderId="0" xfId="0" applyFont="1" applyFill="1" applyBorder="1" applyAlignment="1" applyProtection="1">
      <alignment vertical="center"/>
      <protection hidden="1"/>
    </xf>
    <xf numFmtId="0" fontId="39" fillId="0" borderId="0" xfId="0" applyFont="1" applyFill="1" applyBorder="1" applyAlignment="1" applyProtection="1">
      <alignment vertical="center"/>
      <protection hidden="1"/>
    </xf>
    <xf numFmtId="49" fontId="4" fillId="0" borderId="5" xfId="0" applyNumberFormat="1" applyFont="1" applyFill="1" applyBorder="1" applyAlignment="1" applyProtection="1">
      <alignment vertical="top" wrapText="1"/>
      <protection locked="0"/>
    </xf>
    <xf numFmtId="0" fontId="13" fillId="0" borderId="0" xfId="0" applyFont="1" applyAlignment="1">
      <alignment horizontal="center" vertical="center"/>
    </xf>
    <xf numFmtId="0" fontId="20" fillId="0" borderId="0" xfId="0" applyFont="1" applyFill="1" applyAlignment="1" applyProtection="1">
      <alignment vertical="top"/>
      <protection hidden="1"/>
    </xf>
    <xf numFmtId="0" fontId="20" fillId="0" borderId="0" xfId="0" applyFont="1" applyFill="1" applyAlignment="1" applyProtection="1">
      <alignment horizontal="left" vertical="top"/>
      <protection hidden="1"/>
    </xf>
    <xf numFmtId="0" fontId="0" fillId="20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4" borderId="1" xfId="0" applyNumberFormat="1" applyFill="1" applyBorder="1" applyAlignment="1">
      <alignment horizontal="center" vertical="center"/>
    </xf>
    <xf numFmtId="0" fontId="39" fillId="0" borderId="0" xfId="0" applyFont="1" applyFill="1" applyBorder="1" applyAlignment="1" applyProtection="1">
      <alignment vertical="center" wrapText="1"/>
      <protection hidden="1"/>
    </xf>
    <xf numFmtId="0" fontId="40" fillId="0" borderId="0" xfId="0" applyFont="1" applyFill="1" applyBorder="1" applyAlignment="1" applyProtection="1">
      <alignment vertical="center" wrapText="1"/>
      <protection hidden="1"/>
    </xf>
    <xf numFmtId="164" fontId="39" fillId="0" borderId="0" xfId="0" applyNumberFormat="1" applyFont="1" applyFill="1" applyBorder="1" applyAlignment="1" applyProtection="1">
      <alignment vertical="center"/>
      <protection hidden="1"/>
    </xf>
    <xf numFmtId="0" fontId="13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right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164" fontId="35" fillId="0" borderId="0" xfId="0" applyNumberFormat="1" applyFont="1" applyAlignment="1">
      <alignment horizontal="center" vertical="center"/>
    </xf>
    <xf numFmtId="0" fontId="0" fillId="20" borderId="6" xfId="0" applyFill="1" applyBorder="1" applyAlignment="1">
      <alignment horizontal="center" vertical="center"/>
    </xf>
    <xf numFmtId="0" fontId="0" fillId="14" borderId="1" xfId="0" applyNumberFormat="1" applyFill="1" applyBorder="1" applyAlignment="1">
      <alignment vertical="center" wrapText="1"/>
    </xf>
    <xf numFmtId="0" fontId="35" fillId="0" borderId="0" xfId="0" applyFont="1" applyAlignment="1">
      <alignment vertical="center"/>
    </xf>
    <xf numFmtId="0" fontId="42" fillId="0" borderId="0" xfId="0" applyFont="1" applyFill="1" applyAlignment="1" applyProtection="1">
      <alignment vertical="center"/>
      <protection hidden="1"/>
    </xf>
    <xf numFmtId="0" fontId="3" fillId="6" borderId="11" xfId="0" applyFont="1" applyFill="1" applyBorder="1" applyAlignment="1" applyProtection="1">
      <alignment horizontal="left"/>
    </xf>
    <xf numFmtId="0" fontId="4" fillId="9" borderId="2" xfId="0" applyFont="1" applyFill="1" applyBorder="1" applyAlignment="1" applyProtection="1">
      <alignment horizontal="center" vertical="center"/>
    </xf>
    <xf numFmtId="0" fontId="3" fillId="6" borderId="17" xfId="0" applyFont="1" applyFill="1" applyBorder="1" applyAlignment="1" applyProtection="1">
      <alignment horizontal="left"/>
    </xf>
    <xf numFmtId="0" fontId="3" fillId="6" borderId="16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center" vertical="center"/>
      <protection locked="0"/>
    </xf>
    <xf numFmtId="49" fontId="11" fillId="0" borderId="2" xfId="0" applyNumberFormat="1" applyFont="1" applyFill="1" applyBorder="1" applyAlignment="1" applyProtection="1">
      <alignment horizontal="center" vertical="center"/>
      <protection locked="0"/>
    </xf>
    <xf numFmtId="49" fontId="11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9" borderId="6" xfId="0" applyFont="1" applyFill="1" applyBorder="1" applyProtection="1"/>
    <xf numFmtId="0" fontId="5" fillId="9" borderId="2" xfId="0" applyFont="1" applyFill="1" applyBorder="1" applyProtection="1"/>
    <xf numFmtId="0" fontId="4" fillId="9" borderId="11" xfId="0" applyFont="1" applyFill="1" applyBorder="1" applyAlignment="1" applyProtection="1">
      <alignment horizontal="left" vertical="center"/>
    </xf>
    <xf numFmtId="0" fontId="5" fillId="9" borderId="12" xfId="0" applyFont="1" applyFill="1" applyBorder="1" applyProtection="1"/>
    <xf numFmtId="0" fontId="5" fillId="9" borderId="14" xfId="0" applyFont="1" applyFill="1" applyBorder="1" applyProtection="1"/>
    <xf numFmtId="0" fontId="11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2" xfId="0" applyFont="1" applyFill="1" applyBorder="1" applyAlignment="1" applyProtection="1">
      <alignment horizontal="center"/>
    </xf>
    <xf numFmtId="0" fontId="43" fillId="15" borderId="0" xfId="0" applyFont="1" applyFill="1" applyProtection="1"/>
    <xf numFmtId="0" fontId="43" fillId="0" borderId="0" xfId="0" applyFont="1" applyFill="1" applyProtection="1"/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3" fillId="3" borderId="6" xfId="0" applyFont="1" applyFill="1" applyBorder="1" applyAlignment="1" applyProtection="1">
      <alignment horizontal="left" vertical="center"/>
    </xf>
    <xf numFmtId="0" fontId="1" fillId="3" borderId="2" xfId="0" applyFont="1" applyFill="1" applyBorder="1" applyProtection="1"/>
    <xf numFmtId="0" fontId="0" fillId="4" borderId="5" xfId="0" applyFill="1" applyBorder="1" applyAlignment="1" applyProtection="1">
      <alignment vertical="center"/>
      <protection locked="0"/>
    </xf>
    <xf numFmtId="0" fontId="33" fillId="4" borderId="1" xfId="0" applyFont="1" applyFill="1" applyBorder="1" applyAlignment="1" applyProtection="1">
      <alignment horizontal="center" vertical="center"/>
    </xf>
    <xf numFmtId="0" fontId="3" fillId="6" borderId="2" xfId="0" applyFont="1" applyFill="1" applyBorder="1" applyAlignment="1" applyProtection="1">
      <alignment vertical="center" wrapText="1"/>
    </xf>
    <xf numFmtId="0" fontId="3" fillId="6" borderId="6" xfId="0" applyFont="1" applyFill="1" applyBorder="1" applyAlignment="1" applyProtection="1">
      <alignment vertical="center"/>
    </xf>
    <xf numFmtId="0" fontId="0" fillId="8" borderId="0" xfId="0" applyFill="1" applyProtection="1"/>
    <xf numFmtId="0" fontId="13" fillId="0" borderId="0" xfId="0" applyFont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34" fillId="0" borderId="0" xfId="0" applyFont="1"/>
    <xf numFmtId="0" fontId="37" fillId="0" borderId="0" xfId="0" applyFont="1" applyAlignment="1">
      <alignment horizontal="center" vertical="center" readingOrder="1"/>
    </xf>
    <xf numFmtId="0" fontId="34" fillId="0" borderId="1" xfId="0" applyFont="1" applyBorder="1" applyAlignment="1">
      <alignment horizontal="justify" vertical="top" wrapText="1" readingOrder="1"/>
    </xf>
    <xf numFmtId="0" fontId="0" fillId="0" borderId="0" xfId="0" applyFill="1" applyBorder="1" applyAlignment="1">
      <alignment vertical="center"/>
    </xf>
    <xf numFmtId="0" fontId="0" fillId="4" borderId="5" xfId="0" applyFill="1" applyBorder="1" applyAlignment="1">
      <alignment horizontal="center" vertical="center"/>
    </xf>
    <xf numFmtId="0" fontId="38" fillId="2" borderId="7" xfId="0" applyFont="1" applyFill="1" applyBorder="1" applyAlignment="1">
      <alignment horizontal="center" vertical="center" textRotation="90" wrapText="1" readingOrder="1"/>
    </xf>
    <xf numFmtId="0" fontId="37" fillId="2" borderId="1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</xf>
    <xf numFmtId="0" fontId="9" fillId="2" borderId="0" xfId="0" applyFont="1" applyFill="1" applyAlignment="1" applyProtection="1">
      <alignment vertical="center"/>
      <protection hidden="1"/>
    </xf>
    <xf numFmtId="0" fontId="21" fillId="2" borderId="0" xfId="0" applyFont="1" applyFill="1" applyAlignment="1" applyProtection="1">
      <alignment horizontal="center" vertical="center"/>
      <protection hidden="1"/>
    </xf>
    <xf numFmtId="0" fontId="2" fillId="3" borderId="5" xfId="0" applyFont="1" applyFill="1" applyBorder="1" applyAlignment="1">
      <alignment horizontal="center" vertical="center"/>
    </xf>
    <xf numFmtId="0" fontId="0" fillId="2" borderId="4" xfId="0" applyNumberFormat="1" applyFill="1" applyBorder="1" applyAlignment="1" applyProtection="1">
      <alignment horizontal="center" vertical="center"/>
    </xf>
    <xf numFmtId="0" fontId="46" fillId="20" borderId="7" xfId="0" applyFont="1" applyFill="1" applyBorder="1" applyAlignment="1">
      <alignment horizontal="center" vertical="center"/>
    </xf>
    <xf numFmtId="0" fontId="46" fillId="13" borderId="7" xfId="0" applyFont="1" applyFill="1" applyBorder="1" applyAlignment="1">
      <alignment horizontal="center" vertical="center"/>
    </xf>
    <xf numFmtId="0" fontId="46" fillId="20" borderId="5" xfId="0" applyFont="1" applyFill="1" applyBorder="1" applyAlignment="1">
      <alignment horizontal="center" vertical="center"/>
    </xf>
    <xf numFmtId="0" fontId="0" fillId="0" borderId="21" xfId="0" applyNumberFormat="1" applyBorder="1" applyAlignment="1" applyProtection="1">
      <alignment horizontal="center" vertical="center"/>
      <protection locked="0"/>
    </xf>
    <xf numFmtId="0" fontId="0" fillId="7" borderId="21" xfId="0" applyFill="1" applyBorder="1" applyAlignment="1">
      <alignment horizontal="center" vertical="center"/>
    </xf>
    <xf numFmtId="0" fontId="0" fillId="7" borderId="21" xfId="0" applyFill="1" applyBorder="1" applyAlignment="1">
      <alignment horizontal="left" vertical="center"/>
    </xf>
    <xf numFmtId="0" fontId="2" fillId="2" borderId="22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2" fillId="3" borderId="7" xfId="0" applyFont="1" applyFill="1" applyBorder="1" applyAlignment="1" applyProtection="1">
      <alignment horizontal="center" vertical="center"/>
      <protection hidden="1"/>
    </xf>
    <xf numFmtId="0" fontId="0" fillId="5" borderId="7" xfId="0" applyFill="1" applyBorder="1" applyAlignment="1" applyProtection="1">
      <alignment horizontal="center" vertical="center"/>
      <protection hidden="1"/>
    </xf>
    <xf numFmtId="0" fontId="0" fillId="7" borderId="4" xfId="0" applyFill="1" applyBorder="1" applyAlignment="1" applyProtection="1">
      <alignment horizontal="center" vertical="center"/>
      <protection hidden="1"/>
    </xf>
    <xf numFmtId="0" fontId="0" fillId="7" borderId="4" xfId="0" applyFill="1" applyBorder="1" applyAlignment="1" applyProtection="1">
      <alignment horizontal="left" vertical="center"/>
      <protection hidden="1"/>
    </xf>
    <xf numFmtId="0" fontId="0" fillId="8" borderId="4" xfId="0" applyNumberFormat="1" applyFill="1" applyBorder="1" applyAlignment="1" applyProtection="1">
      <alignment horizontal="center" vertical="center"/>
      <protection hidden="1"/>
    </xf>
    <xf numFmtId="0" fontId="0" fillId="20" borderId="4" xfId="0" applyNumberFormat="1" applyFill="1" applyBorder="1" applyAlignment="1" applyProtection="1">
      <alignment horizontal="center" vertical="center"/>
      <protection hidden="1"/>
    </xf>
    <xf numFmtId="0" fontId="0" fillId="7" borderId="1" xfId="0" applyFill="1" applyBorder="1" applyAlignment="1" applyProtection="1">
      <alignment horizontal="center" vertical="center"/>
      <protection hidden="1"/>
    </xf>
    <xf numFmtId="0" fontId="0" fillId="7" borderId="1" xfId="0" applyFill="1" applyBorder="1" applyAlignment="1" applyProtection="1">
      <alignment horizontal="left" vertical="center"/>
      <protection hidden="1"/>
    </xf>
    <xf numFmtId="0" fontId="0" fillId="8" borderId="1" xfId="0" applyNumberFormat="1" applyFill="1" applyBorder="1" applyAlignment="1" applyProtection="1">
      <alignment horizontal="center" vertical="center"/>
      <protection hidden="1"/>
    </xf>
    <xf numFmtId="0" fontId="0" fillId="20" borderId="1" xfId="0" applyNumberForma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1" fontId="17" fillId="14" borderId="6" xfId="0" applyNumberFormat="1" applyFont="1" applyFill="1" applyBorder="1" applyAlignment="1" applyProtection="1">
      <alignment horizontal="center" vertical="center"/>
      <protection hidden="1"/>
    </xf>
    <xf numFmtId="1" fontId="17" fillId="14" borderId="1" xfId="0" applyNumberFormat="1" applyFont="1" applyFill="1" applyBorder="1" applyAlignment="1" applyProtection="1">
      <alignment horizontal="center"/>
      <protection hidden="1"/>
    </xf>
    <xf numFmtId="1" fontId="17" fillId="14" borderId="6" xfId="0" applyNumberFormat="1" applyFont="1" applyFill="1" applyBorder="1" applyAlignment="1" applyProtection="1">
      <alignment horizontal="center"/>
      <protection hidden="1"/>
    </xf>
    <xf numFmtId="0" fontId="49" fillId="0" borderId="0" xfId="0" applyFont="1" applyAlignment="1">
      <alignment horizontal="left"/>
    </xf>
    <xf numFmtId="0" fontId="15" fillId="0" borderId="0" xfId="0" applyFont="1"/>
    <xf numFmtId="0" fontId="0" fillId="0" borderId="0" xfId="0" applyFont="1" applyFill="1" applyAlignment="1" applyProtection="1">
      <alignment horizontal="left" vertical="center"/>
    </xf>
    <xf numFmtId="0" fontId="35" fillId="20" borderId="1" xfId="0" applyFont="1" applyFill="1" applyBorder="1" applyAlignment="1" applyProtection="1">
      <alignment horizontal="center" vertical="center"/>
      <protection hidden="1"/>
    </xf>
    <xf numFmtId="167" fontId="35" fillId="20" borderId="1" xfId="0" applyNumberFormat="1" applyFont="1" applyFill="1" applyBorder="1" applyAlignment="1" applyProtection="1">
      <alignment horizontal="center" vertical="center"/>
      <protection hidden="1"/>
    </xf>
    <xf numFmtId="0" fontId="35" fillId="14" borderId="1" xfId="0" applyFont="1" applyFill="1" applyBorder="1" applyAlignment="1" applyProtection="1">
      <alignment horizontal="center" vertical="center"/>
      <protection hidden="1"/>
    </xf>
    <xf numFmtId="0" fontId="35" fillId="14" borderId="1" xfId="0" applyNumberFormat="1" applyFont="1" applyFill="1" applyBorder="1" applyAlignment="1" applyProtection="1">
      <alignment vertical="center"/>
      <protection hidden="1"/>
    </xf>
    <xf numFmtId="0" fontId="35" fillId="14" borderId="1" xfId="0" applyNumberFormat="1" applyFont="1" applyFill="1" applyBorder="1" applyAlignment="1" applyProtection="1">
      <alignment horizontal="center"/>
      <protection hidden="1"/>
    </xf>
    <xf numFmtId="0" fontId="35" fillId="14" borderId="1" xfId="0" applyNumberFormat="1" applyFont="1" applyFill="1" applyBorder="1" applyAlignment="1" applyProtection="1">
      <alignment horizontal="center" vertical="center"/>
      <protection hidden="1"/>
    </xf>
    <xf numFmtId="166" fontId="0" fillId="0" borderId="1" xfId="0" applyNumberForma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hidden="1"/>
    </xf>
    <xf numFmtId="0" fontId="24" fillId="2" borderId="5" xfId="0" applyFont="1" applyFill="1" applyBorder="1" applyAlignment="1" applyProtection="1">
      <alignment horizontal="center" vertical="center" wrapText="1"/>
      <protection hidden="1"/>
    </xf>
    <xf numFmtId="167" fontId="20" fillId="2" borderId="1" xfId="0" applyNumberFormat="1" applyFont="1" applyFill="1" applyBorder="1" applyAlignment="1" applyProtection="1">
      <alignment horizontal="center" vertical="top"/>
      <protection hidden="1"/>
    </xf>
    <xf numFmtId="167" fontId="20" fillId="2" borderId="4" xfId="0" applyNumberFormat="1" applyFont="1" applyFill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/>
    </xf>
    <xf numFmtId="0" fontId="34" fillId="2" borderId="1" xfId="0" applyFont="1" applyFill="1" applyBorder="1" applyAlignment="1">
      <alignment horizontal="center" readingOrder="1"/>
    </xf>
    <xf numFmtId="0" fontId="34" fillId="0" borderId="4" xfId="0" applyFont="1" applyBorder="1" applyAlignment="1" applyProtection="1">
      <alignment horizontal="center" wrapText="1" readingOrder="1"/>
      <protection locked="0"/>
    </xf>
    <xf numFmtId="0" fontId="34" fillId="2" borderId="4" xfId="0" applyFont="1" applyFill="1" applyBorder="1" applyAlignment="1">
      <alignment horizontal="center" wrapText="1" readingOrder="1"/>
    </xf>
    <xf numFmtId="0" fontId="34" fillId="2" borderId="4" xfId="0" applyFont="1" applyFill="1" applyBorder="1" applyAlignment="1">
      <alignment horizontal="center" readingOrder="1"/>
    </xf>
    <xf numFmtId="0" fontId="34" fillId="2" borderId="1" xfId="0" applyFont="1" applyFill="1" applyBorder="1" applyAlignment="1">
      <alignment horizontal="center" wrapText="1" readingOrder="1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4" fillId="9" borderId="6" xfId="0" applyFont="1" applyFill="1" applyBorder="1" applyAlignment="1" applyProtection="1">
      <alignment horizontal="left" vertical="center"/>
    </xf>
    <xf numFmtId="0" fontId="4" fillId="9" borderId="2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9" fillId="15" borderId="0" xfId="0" applyFont="1" applyFill="1" applyBorder="1" applyAlignment="1" applyProtection="1">
      <alignment horizontal="center"/>
    </xf>
    <xf numFmtId="0" fontId="0" fillId="15" borderId="23" xfId="0" applyFill="1" applyBorder="1" applyProtection="1"/>
    <xf numFmtId="0" fontId="0" fillId="15" borderId="25" xfId="0" applyFill="1" applyBorder="1" applyProtection="1"/>
    <xf numFmtId="0" fontId="0" fillId="15" borderId="26" xfId="0" applyFill="1" applyBorder="1" applyProtection="1"/>
    <xf numFmtId="0" fontId="0" fillId="15" borderId="27" xfId="0" applyFill="1" applyBorder="1" applyProtection="1"/>
    <xf numFmtId="0" fontId="0" fillId="15" borderId="28" xfId="0" applyFill="1" applyBorder="1" applyProtection="1"/>
    <xf numFmtId="0" fontId="0" fillId="15" borderId="29" xfId="0" applyFill="1" applyBorder="1" applyProtection="1"/>
    <xf numFmtId="0" fontId="2" fillId="15" borderId="29" xfId="0" applyFont="1" applyFill="1" applyBorder="1" applyAlignment="1" applyProtection="1">
      <alignment vertical="center"/>
    </xf>
    <xf numFmtId="0" fontId="0" fillId="15" borderId="29" xfId="0" applyFill="1" applyBorder="1" applyAlignment="1" applyProtection="1">
      <alignment horizontal="center" vertical="center"/>
    </xf>
    <xf numFmtId="0" fontId="48" fillId="15" borderId="29" xfId="0" applyFont="1" applyFill="1" applyBorder="1" applyAlignment="1" applyProtection="1">
      <alignment horizontal="right" vertical="center"/>
    </xf>
    <xf numFmtId="0" fontId="0" fillId="15" borderId="30" xfId="0" applyFill="1" applyBorder="1" applyProtection="1"/>
    <xf numFmtId="2" fontId="2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2" fontId="0" fillId="8" borderId="4" xfId="0" applyNumberForma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36" fillId="0" borderId="0" xfId="3" applyFill="1" applyAlignment="1" applyProtection="1"/>
    <xf numFmtId="0" fontId="51" fillId="0" borderId="0" xfId="0" quotePrefix="1" applyFont="1"/>
    <xf numFmtId="0" fontId="50" fillId="0" borderId="0" xfId="0" applyFont="1"/>
    <xf numFmtId="0" fontId="4" fillId="9" borderId="2" xfId="0" applyFont="1" applyFill="1" applyBorder="1" applyAlignment="1" applyProtection="1">
      <alignment horizontal="left" vertical="center"/>
    </xf>
    <xf numFmtId="0" fontId="52" fillId="15" borderId="24" xfId="0" applyFont="1" applyFill="1" applyBorder="1" applyProtection="1"/>
    <xf numFmtId="0" fontId="0" fillId="24" borderId="1" xfId="0" applyNumberFormat="1" applyFill="1" applyBorder="1" applyAlignment="1" applyProtection="1">
      <alignment horizontal="center" vertical="center"/>
      <protection hidden="1"/>
    </xf>
    <xf numFmtId="14" fontId="0" fillId="15" borderId="29" xfId="0" applyNumberFormat="1" applyFill="1" applyBorder="1" applyAlignment="1" applyProtection="1">
      <alignment horizontal="right"/>
    </xf>
    <xf numFmtId="0" fontId="0" fillId="0" borderId="4" xfId="0" applyBorder="1" applyAlignment="1" applyProtection="1">
      <alignment horizontal="center" vertical="center"/>
      <protection locked="0"/>
    </xf>
    <xf numFmtId="0" fontId="17" fillId="4" borderId="5" xfId="0" applyFont="1" applyFill="1" applyBorder="1" applyAlignment="1" applyProtection="1">
      <alignment vertical="center"/>
      <protection locked="0"/>
    </xf>
    <xf numFmtId="0" fontId="16" fillId="25" borderId="5" xfId="0" applyFont="1" applyFill="1" applyBorder="1" applyAlignment="1" applyProtection="1">
      <alignment horizontal="center" vertical="center"/>
    </xf>
    <xf numFmtId="0" fontId="16" fillId="25" borderId="7" xfId="0" applyFont="1" applyFill="1" applyBorder="1" applyAlignment="1" applyProtection="1">
      <alignment horizontal="center" vertical="center"/>
    </xf>
    <xf numFmtId="0" fontId="16" fillId="8" borderId="7" xfId="0" applyFont="1" applyFill="1" applyBorder="1" applyAlignment="1" applyProtection="1">
      <alignment horizontal="center" vertical="center"/>
    </xf>
    <xf numFmtId="0" fontId="16" fillId="12" borderId="7" xfId="0" applyFont="1" applyFill="1" applyBorder="1" applyAlignment="1" applyProtection="1">
      <alignment horizontal="center" vertical="center"/>
    </xf>
    <xf numFmtId="0" fontId="16" fillId="13" borderId="7" xfId="0" applyFont="1" applyFill="1" applyBorder="1" applyAlignment="1" applyProtection="1">
      <alignment horizontal="center" vertical="center"/>
    </xf>
    <xf numFmtId="0" fontId="54" fillId="0" borderId="0" xfId="0" applyFont="1" applyProtection="1">
      <protection hidden="1"/>
    </xf>
    <xf numFmtId="0" fontId="55" fillId="29" borderId="0" xfId="0" applyFont="1" applyFill="1" applyProtection="1"/>
    <xf numFmtId="0" fontId="55" fillId="0" borderId="0" xfId="0" applyFont="1" applyFill="1" applyProtection="1"/>
    <xf numFmtId="0" fontId="55" fillId="0" borderId="0" xfId="0" applyFont="1" applyProtection="1"/>
    <xf numFmtId="0" fontId="55" fillId="0" borderId="0" xfId="0" applyFont="1"/>
    <xf numFmtId="0" fontId="56" fillId="0" borderId="0" xfId="0" applyFont="1" applyFill="1" applyBorder="1" applyProtection="1"/>
    <xf numFmtId="0" fontId="56" fillId="0" borderId="0" xfId="0" applyFont="1" applyBorder="1" applyProtection="1"/>
    <xf numFmtId="0" fontId="56" fillId="0" borderId="0" xfId="0" applyFont="1" applyFill="1" applyProtection="1"/>
    <xf numFmtId="0" fontId="56" fillId="0" borderId="0" xfId="0" applyFont="1" applyFill="1" applyBorder="1" applyAlignment="1" applyProtection="1"/>
    <xf numFmtId="0" fontId="56" fillId="0" borderId="0" xfId="0" applyFont="1" applyBorder="1" applyAlignment="1" applyProtection="1"/>
    <xf numFmtId="0" fontId="57" fillId="0" borderId="0" xfId="0" applyFont="1" applyFill="1" applyBorder="1" applyAlignment="1" applyProtection="1"/>
    <xf numFmtId="0" fontId="56" fillId="0" borderId="10" xfId="0" applyFont="1" applyFill="1" applyBorder="1" applyProtection="1"/>
    <xf numFmtId="0" fontId="24" fillId="0" borderId="0" xfId="0" applyFont="1" applyFill="1" applyAlignment="1" applyProtection="1">
      <alignment horizontal="left"/>
      <protection hidden="1"/>
    </xf>
    <xf numFmtId="0" fontId="56" fillId="29" borderId="0" xfId="0" applyFont="1" applyFill="1" applyProtection="1"/>
    <xf numFmtId="0" fontId="24" fillId="0" borderId="0" xfId="0" applyFont="1" applyFill="1" applyAlignment="1" applyProtection="1">
      <alignment vertical="center"/>
      <protection hidden="1"/>
    </xf>
    <xf numFmtId="0" fontId="20" fillId="0" borderId="0" xfId="0" applyNumberFormat="1" applyFont="1" applyFill="1" applyAlignment="1" applyProtection="1">
      <alignment horizontal="left" vertical="center"/>
      <protection hidden="1"/>
    </xf>
    <xf numFmtId="166" fontId="24" fillId="0" borderId="0" xfId="0" applyNumberFormat="1" applyFont="1" applyFill="1" applyAlignment="1" applyProtection="1">
      <alignment vertical="center"/>
      <protection hidden="1"/>
    </xf>
    <xf numFmtId="0" fontId="24" fillId="0" borderId="0" xfId="0" applyFont="1" applyFill="1" applyAlignment="1" applyProtection="1">
      <alignment horizontal="left" vertical="center"/>
      <protection hidden="1"/>
    </xf>
    <xf numFmtId="0" fontId="20" fillId="0" borderId="2" xfId="0" applyFont="1" applyFill="1" applyBorder="1" applyAlignment="1" applyProtection="1">
      <alignment horizontal="center" vertical="center" wrapText="1"/>
      <protection hidden="1"/>
    </xf>
    <xf numFmtId="0" fontId="20" fillId="0" borderId="1" xfId="0" applyFont="1" applyFill="1" applyBorder="1" applyAlignment="1" applyProtection="1">
      <alignment horizontal="center" vertical="center" wrapText="1"/>
      <protection hidden="1"/>
    </xf>
    <xf numFmtId="0" fontId="20" fillId="0" borderId="1" xfId="0" applyFont="1" applyFill="1" applyBorder="1" applyAlignment="1" applyProtection="1">
      <alignment vertical="center" wrapText="1"/>
      <protection hidden="1"/>
    </xf>
    <xf numFmtId="167" fontId="20" fillId="0" borderId="1" xfId="0" applyNumberFormat="1" applyFont="1" applyFill="1" applyBorder="1" applyAlignment="1" applyProtection="1">
      <alignment horizontal="center" vertical="top"/>
      <protection hidden="1"/>
    </xf>
    <xf numFmtId="0" fontId="55" fillId="4" borderId="0" xfId="0" applyFont="1" applyFill="1" applyAlignment="1">
      <alignment horizontal="center" vertical="center"/>
    </xf>
    <xf numFmtId="0" fontId="28" fillId="0" borderId="0" xfId="0" applyFont="1" applyProtection="1"/>
    <xf numFmtId="0" fontId="56" fillId="0" borderId="0" xfId="0" applyFont="1" applyProtection="1"/>
    <xf numFmtId="167" fontId="20" fillId="0" borderId="3" xfId="0" applyNumberFormat="1" applyFont="1" applyFill="1" applyBorder="1" applyAlignment="1" applyProtection="1">
      <alignment vertical="top"/>
      <protection hidden="1"/>
    </xf>
    <xf numFmtId="0" fontId="24" fillId="0" borderId="0" xfId="0" applyFont="1" applyFill="1" applyBorder="1" applyAlignment="1" applyProtection="1">
      <alignment horizontal="center" vertical="center"/>
      <protection hidden="1"/>
    </xf>
    <xf numFmtId="2" fontId="24" fillId="0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0" fontId="56" fillId="0" borderId="0" xfId="0" applyFont="1" applyFill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 vertical="center"/>
      <protection hidden="1"/>
    </xf>
    <xf numFmtId="0" fontId="61" fillId="15" borderId="0" xfId="0" applyFont="1" applyFill="1" applyProtection="1"/>
    <xf numFmtId="0" fontId="56" fillId="0" borderId="0" xfId="0" applyFont="1" applyAlignment="1" applyProtection="1">
      <alignment horizontal="center"/>
    </xf>
    <xf numFmtId="169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56" fillId="0" borderId="0" xfId="0" applyFont="1" applyFill="1" applyBorder="1" applyAlignment="1" applyProtection="1">
      <alignment horizontal="center"/>
    </xf>
    <xf numFmtId="0" fontId="57" fillId="0" borderId="0" xfId="0" applyFont="1" applyFill="1" applyBorder="1" applyAlignment="1" applyProtection="1">
      <alignment horizontal="center"/>
    </xf>
    <xf numFmtId="0" fontId="58" fillId="0" borderId="0" xfId="0" applyFont="1" applyFill="1" applyBorder="1" applyAlignment="1" applyProtection="1">
      <alignment horizontal="center"/>
    </xf>
    <xf numFmtId="0" fontId="55" fillId="0" borderId="0" xfId="0" applyFont="1" applyFill="1" applyBorder="1" applyAlignment="1" applyProtection="1"/>
    <xf numFmtId="0" fontId="58" fillId="0" borderId="10" xfId="0" applyFont="1" applyFill="1" applyBorder="1" applyAlignment="1" applyProtection="1">
      <alignment horizontal="center"/>
    </xf>
    <xf numFmtId="0" fontId="55" fillId="0" borderId="10" xfId="0" applyFont="1" applyFill="1" applyBorder="1" applyAlignment="1" applyProtection="1"/>
    <xf numFmtId="0" fontId="56" fillId="0" borderId="0" xfId="0" applyFont="1" applyFill="1" applyAlignment="1" applyProtection="1">
      <alignment vertical="top" wrapText="1"/>
    </xf>
    <xf numFmtId="0" fontId="56" fillId="0" borderId="0" xfId="0" applyFont="1" applyFill="1" applyAlignment="1" applyProtection="1">
      <alignment horizontal="left" vertical="justify" wrapText="1"/>
    </xf>
    <xf numFmtId="0" fontId="24" fillId="0" borderId="12" xfId="0" applyFont="1" applyFill="1" applyBorder="1" applyAlignment="1" applyProtection="1">
      <alignment horizontal="center" vertical="center" wrapText="1"/>
      <protection hidden="1"/>
    </xf>
    <xf numFmtId="0" fontId="24" fillId="0" borderId="14" xfId="0" applyFont="1" applyFill="1" applyBorder="1" applyAlignment="1" applyProtection="1">
      <alignment horizontal="center" vertical="center" wrapText="1"/>
      <protection hidden="1"/>
    </xf>
    <xf numFmtId="167" fontId="20" fillId="0" borderId="1" xfId="0" applyNumberFormat="1" applyFont="1" applyFill="1" applyBorder="1" applyAlignment="1" applyProtection="1">
      <alignment vertical="top"/>
      <protection hidden="1"/>
    </xf>
    <xf numFmtId="0" fontId="26" fillId="0" borderId="0" xfId="0" applyFont="1" applyFill="1" applyBorder="1" applyAlignment="1" applyProtection="1">
      <alignment vertical="center"/>
      <protection hidden="1"/>
    </xf>
    <xf numFmtId="164" fontId="20" fillId="0" borderId="0" xfId="0" applyNumberFormat="1" applyFont="1" applyFill="1" applyBorder="1" applyAlignment="1" applyProtection="1">
      <alignment horizontal="left" vertical="center"/>
      <protection hidden="1"/>
    </xf>
    <xf numFmtId="0" fontId="55" fillId="17" borderId="0" xfId="0" applyFont="1" applyFill="1"/>
    <xf numFmtId="0" fontId="55" fillId="17" borderId="0" xfId="0" applyFont="1" applyFill="1" applyProtection="1"/>
    <xf numFmtId="0" fontId="56" fillId="17" borderId="0" xfId="0" applyFont="1" applyFill="1" applyBorder="1" applyProtection="1"/>
    <xf numFmtId="0" fontId="56" fillId="0" borderId="0" xfId="0" applyFont="1" applyBorder="1" applyAlignment="1" applyProtection="1">
      <alignment horizontal="center"/>
    </xf>
    <xf numFmtId="0" fontId="57" fillId="0" borderId="0" xfId="0" applyFont="1" applyBorder="1" applyAlignment="1" applyProtection="1"/>
    <xf numFmtId="0" fontId="57" fillId="0" borderId="0" xfId="0" applyFont="1" applyBorder="1" applyAlignment="1" applyProtection="1">
      <alignment horizontal="center"/>
    </xf>
    <xf numFmtId="0" fontId="55" fillId="0" borderId="0" xfId="0" applyFont="1" applyBorder="1" applyAlignment="1" applyProtection="1"/>
    <xf numFmtId="0" fontId="58" fillId="0" borderId="0" xfId="0" applyFont="1" applyBorder="1" applyAlignment="1" applyProtection="1">
      <alignment horizontal="center"/>
    </xf>
    <xf numFmtId="0" fontId="63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56" fillId="0" borderId="0" xfId="0" applyFont="1"/>
    <xf numFmtId="0" fontId="63" fillId="0" borderId="0" xfId="0" applyFont="1" applyBorder="1" applyAlignment="1">
      <alignment horizontal="center" vertical="center"/>
    </xf>
    <xf numFmtId="0" fontId="55" fillId="0" borderId="5" xfId="0" applyFont="1" applyBorder="1" applyAlignment="1">
      <alignment horizontal="center" vertical="center"/>
    </xf>
    <xf numFmtId="0" fontId="56" fillId="0" borderId="21" xfId="0" applyFont="1" applyBorder="1" applyAlignment="1">
      <alignment horizontal="center" vertical="center"/>
    </xf>
    <xf numFmtId="10" fontId="56" fillId="0" borderId="21" xfId="0" applyNumberFormat="1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24" fillId="0" borderId="0" xfId="0" applyFont="1" applyAlignment="1" applyProtection="1">
      <alignment horizontal="left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0" fillId="30" borderId="6" xfId="0" applyFill="1" applyBorder="1" applyAlignment="1" applyProtection="1">
      <alignment horizontal="center" vertical="center"/>
      <protection hidden="1"/>
    </xf>
    <xf numFmtId="0" fontId="56" fillId="0" borderId="1" xfId="0" applyFont="1" applyFill="1" applyBorder="1" applyAlignment="1" applyProtection="1">
      <alignment horizontal="center" vertical="center"/>
      <protection hidden="1"/>
    </xf>
    <xf numFmtId="0" fontId="0" fillId="0" borderId="4" xfId="0" applyNumberFormat="1" applyFill="1" applyBorder="1" applyAlignment="1" applyProtection="1">
      <alignment horizontal="center" vertical="center"/>
      <protection hidden="1"/>
    </xf>
    <xf numFmtId="0" fontId="5" fillId="0" borderId="0" xfId="0" applyFont="1" applyFill="1" applyProtection="1"/>
    <xf numFmtId="0" fontId="14" fillId="0" borderId="0" xfId="0" applyFont="1" applyFill="1" applyProtection="1"/>
    <xf numFmtId="0" fontId="0" fillId="0" borderId="1" xfId="0" applyBorder="1" applyProtection="1"/>
    <xf numFmtId="49" fontId="0" fillId="0" borderId="1" xfId="0" applyNumberFormat="1" applyBorder="1" applyProtection="1"/>
    <xf numFmtId="0" fontId="0" fillId="0" borderId="1" xfId="0" applyNumberFormat="1" applyBorder="1" applyProtection="1"/>
    <xf numFmtId="0" fontId="0" fillId="4" borderId="1" xfId="0" applyFill="1" applyBorder="1" applyAlignment="1">
      <alignment horizontal="center" vertical="center"/>
    </xf>
    <xf numFmtId="0" fontId="20" fillId="0" borderId="0" xfId="0" applyFont="1" applyFill="1" applyBorder="1" applyAlignment="1" applyProtection="1">
      <alignment horizontal="center" vertical="top"/>
      <protection hidden="1"/>
    </xf>
    <xf numFmtId="166" fontId="20" fillId="0" borderId="0" xfId="0" applyNumberFormat="1" applyFont="1" applyFill="1" applyBorder="1" applyAlignment="1" applyProtection="1">
      <alignment horizontal="center" vertical="top"/>
      <protection hidden="1"/>
    </xf>
    <xf numFmtId="0" fontId="0" fillId="8" borderId="1" xfId="0" applyFill="1" applyBorder="1" applyProtection="1"/>
    <xf numFmtId="9" fontId="0" fillId="0" borderId="0" xfId="0" applyNumberFormat="1" applyAlignment="1">
      <alignment horizontal="center" vertical="center"/>
    </xf>
    <xf numFmtId="9" fontId="0" fillId="0" borderId="1" xfId="0" applyNumberFormat="1" applyBorder="1" applyAlignment="1" applyProtection="1">
      <alignment horizontal="center" vertical="center"/>
      <protection locked="0"/>
    </xf>
    <xf numFmtId="0" fontId="20" fillId="2" borderId="0" xfId="0" applyFont="1" applyFill="1" applyBorder="1" applyAlignment="1" applyProtection="1">
      <alignment horizontal="center" vertical="top"/>
      <protection hidden="1"/>
    </xf>
    <xf numFmtId="166" fontId="0" fillId="0" borderId="0" xfId="0" applyNumberFormat="1" applyAlignment="1">
      <alignment horizontal="center" vertical="top"/>
    </xf>
    <xf numFmtId="0" fontId="20" fillId="0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56" fillId="0" borderId="0" xfId="0" applyFont="1" applyFill="1" applyAlignment="1" applyProtection="1">
      <alignment horizontal="left"/>
    </xf>
    <xf numFmtId="0" fontId="20" fillId="0" borderId="0" xfId="0" applyFont="1" applyFill="1" applyBorder="1" applyAlignment="1" applyProtection="1">
      <alignment horizontal="left" vertical="top"/>
      <protection hidden="1"/>
    </xf>
    <xf numFmtId="0" fontId="20" fillId="0" borderId="0" xfId="0" applyFont="1" applyFill="1" applyBorder="1" applyAlignment="1" applyProtection="1">
      <alignment horizontal="left" vertical="center"/>
      <protection hidden="1"/>
    </xf>
    <xf numFmtId="0" fontId="26" fillId="0" borderId="0" xfId="0" applyFont="1" applyFill="1" applyBorder="1" applyAlignment="1" applyProtection="1">
      <alignment horizontal="left" vertical="center"/>
      <protection hidden="1"/>
    </xf>
    <xf numFmtId="169" fontId="20" fillId="0" borderId="0" xfId="0" applyNumberFormat="1" applyFont="1" applyFill="1" applyBorder="1" applyAlignment="1" applyProtection="1">
      <alignment horizontal="left" vertical="center"/>
      <protection hidden="1"/>
    </xf>
    <xf numFmtId="0" fontId="64" fillId="2" borderId="0" xfId="0" applyFont="1" applyFill="1" applyAlignment="1" applyProtection="1">
      <alignment vertical="center"/>
      <protection hidden="1"/>
    </xf>
    <xf numFmtId="0" fontId="65" fillId="2" borderId="0" xfId="0" applyFont="1" applyFill="1" applyAlignment="1" applyProtection="1">
      <alignment vertical="center"/>
      <protection hidden="1"/>
    </xf>
    <xf numFmtId="166" fontId="20" fillId="0" borderId="0" xfId="0" applyNumberFormat="1" applyFont="1" applyFill="1" applyBorder="1" applyAlignment="1" applyProtection="1">
      <alignment horizontal="left" vertical="top"/>
      <protection hidden="1"/>
    </xf>
    <xf numFmtId="169" fontId="64" fillId="2" borderId="0" xfId="0" applyNumberFormat="1" applyFont="1" applyFill="1" applyAlignment="1" applyProtection="1">
      <alignment vertical="center"/>
      <protection hidden="1"/>
    </xf>
    <xf numFmtId="0" fontId="46" fillId="13" borderId="5" xfId="0" applyFont="1" applyFill="1" applyBorder="1" applyAlignment="1">
      <alignment horizontal="center" vertical="center"/>
    </xf>
    <xf numFmtId="0" fontId="0" fillId="8" borderId="1" xfId="0" applyFill="1" applyBorder="1"/>
    <xf numFmtId="0" fontId="0" fillId="22" borderId="1" xfId="0" applyFill="1" applyBorder="1" applyAlignment="1">
      <alignment horizontal="center"/>
    </xf>
    <xf numFmtId="0" fontId="0" fillId="22" borderId="21" xfId="0" applyFill="1" applyBorder="1" applyAlignment="1">
      <alignment horizontal="center"/>
    </xf>
    <xf numFmtId="0" fontId="56" fillId="0" borderId="6" xfId="0" applyFont="1" applyFill="1" applyBorder="1" applyAlignment="1" applyProtection="1">
      <alignment horizontal="center" vertical="center"/>
      <protection hidden="1"/>
    </xf>
    <xf numFmtId="0" fontId="4" fillId="9" borderId="6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center"/>
    </xf>
    <xf numFmtId="0" fontId="0" fillId="32" borderId="4" xfId="0" applyFill="1" applyBorder="1" applyAlignment="1">
      <alignment horizontal="left" indent="2"/>
    </xf>
    <xf numFmtId="0" fontId="0" fillId="8" borderId="4" xfId="0" applyFill="1" applyBorder="1" applyAlignment="1">
      <alignment horizontal="left" indent="1"/>
    </xf>
    <xf numFmtId="0" fontId="20" fillId="0" borderId="5" xfId="0" applyFont="1" applyFill="1" applyBorder="1" applyAlignment="1" applyProtection="1">
      <alignment horizontal="left" vertical="center" wrapText="1" indent="3"/>
      <protection hidden="1"/>
    </xf>
    <xf numFmtId="0" fontId="20" fillId="0" borderId="1" xfId="0" applyFont="1" applyFill="1" applyBorder="1" applyAlignment="1" applyProtection="1">
      <alignment horizontal="left" vertical="center" wrapText="1" indent="3"/>
      <protection hidden="1"/>
    </xf>
    <xf numFmtId="0" fontId="0" fillId="8" borderId="1" xfId="0" applyFill="1" applyBorder="1" applyAlignment="1" applyProtection="1">
      <alignment horizontal="left" vertical="center"/>
      <protection hidden="1"/>
    </xf>
    <xf numFmtId="0" fontId="2" fillId="3" borderId="1" xfId="0" applyFont="1" applyFill="1" applyBorder="1"/>
    <xf numFmtId="0" fontId="60" fillId="0" borderId="1" xfId="0" applyFont="1" applyBorder="1" applyAlignment="1">
      <alignment horizontal="center" vertical="center"/>
    </xf>
    <xf numFmtId="0" fontId="4" fillId="9" borderId="6" xfId="0" applyFont="1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31" borderId="1" xfId="0" applyFill="1" applyBorder="1" applyAlignment="1">
      <alignment horizontal="left" indent="1"/>
    </xf>
    <xf numFmtId="0" fontId="0" fillId="25" borderId="4" xfId="0" applyFill="1" applyBorder="1" applyAlignment="1">
      <alignment horizontal="left" indent="1"/>
    </xf>
    <xf numFmtId="0" fontId="0" fillId="25" borderId="1" xfId="0" applyFill="1" applyBorder="1" applyAlignment="1">
      <alignment horizontal="left" indent="1"/>
    </xf>
    <xf numFmtId="0" fontId="0" fillId="13" borderId="4" xfId="0" applyFill="1" applyBorder="1" applyAlignment="1">
      <alignment horizontal="center"/>
    </xf>
    <xf numFmtId="0" fontId="0" fillId="0" borderId="4" xfId="0" applyBorder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0" fillId="13" borderId="12" xfId="0" applyFill="1" applyBorder="1" applyAlignment="1">
      <alignment horizontal="center"/>
    </xf>
    <xf numFmtId="0" fontId="0" fillId="8" borderId="4" xfId="0" applyFill="1" applyBorder="1"/>
    <xf numFmtId="0" fontId="0" fillId="0" borderId="21" xfId="0" applyBorder="1" applyAlignment="1">
      <alignment horizontal="center"/>
    </xf>
    <xf numFmtId="0" fontId="60" fillId="0" borderId="1" xfId="0" applyFont="1" applyBorder="1" applyAlignment="1">
      <alignment horizontal="center"/>
    </xf>
    <xf numFmtId="0" fontId="3" fillId="6" borderId="17" xfId="0" applyFont="1" applyFill="1" applyBorder="1" applyAlignment="1" applyProtection="1">
      <alignment horizontal="left" vertical="center"/>
    </xf>
    <xf numFmtId="0" fontId="3" fillId="6" borderId="6" xfId="0" applyFont="1" applyFill="1" applyBorder="1" applyAlignment="1" applyProtection="1">
      <alignment horizontal="left" vertical="center"/>
    </xf>
    <xf numFmtId="0" fontId="0" fillId="8" borderId="1" xfId="0" applyFill="1" applyBorder="1" applyAlignment="1">
      <alignment horizontal="left" indent="1"/>
    </xf>
    <xf numFmtId="0" fontId="20" fillId="0" borderId="1" xfId="0" applyFont="1" applyFill="1" applyBorder="1" applyAlignment="1" applyProtection="1">
      <alignment vertical="center"/>
      <protection hidden="1"/>
    </xf>
    <xf numFmtId="0" fontId="56" fillId="8" borderId="1" xfId="0" applyFont="1" applyFill="1" applyBorder="1" applyProtection="1">
      <protection locked="0"/>
    </xf>
    <xf numFmtId="0" fontId="20" fillId="2" borderId="1" xfId="0" applyFont="1" applyFill="1" applyBorder="1" applyAlignment="1" applyProtection="1">
      <alignment horizontal="center" vertical="center"/>
      <protection hidden="1"/>
    </xf>
    <xf numFmtId="49" fontId="4" fillId="0" borderId="3" xfId="0" applyNumberFormat="1" applyFont="1" applyFill="1" applyBorder="1" applyAlignment="1" applyProtection="1">
      <alignment horizontal="left" vertical="center"/>
      <protection locked="0"/>
    </xf>
    <xf numFmtId="0" fontId="4" fillId="9" borderId="6" xfId="0" applyFont="1" applyFill="1" applyBorder="1" applyAlignment="1" applyProtection="1">
      <alignment horizontal="left" vertical="center"/>
    </xf>
    <xf numFmtId="0" fontId="4" fillId="9" borderId="2" xfId="0" applyFont="1" applyFill="1" applyBorder="1" applyAlignment="1" applyProtection="1">
      <alignment horizontal="left" vertical="center"/>
    </xf>
    <xf numFmtId="0" fontId="18" fillId="15" borderId="24" xfId="0" applyFont="1" applyFill="1" applyBorder="1" applyAlignment="1" applyProtection="1">
      <alignment horizontal="center" vertical="center"/>
    </xf>
    <xf numFmtId="0" fontId="2" fillId="10" borderId="6" xfId="0" applyFont="1" applyFill="1" applyBorder="1" applyAlignment="1" applyProtection="1">
      <alignment horizontal="center" vertical="center"/>
    </xf>
    <xf numFmtId="0" fontId="2" fillId="10" borderId="2" xfId="0" applyFont="1" applyFill="1" applyBorder="1" applyAlignment="1" applyProtection="1">
      <alignment horizontal="center" vertical="center"/>
    </xf>
    <xf numFmtId="0" fontId="0" fillId="11" borderId="5" xfId="0" applyFill="1" applyBorder="1" applyAlignment="1">
      <alignment horizontal="center" vertical="center" readingOrder="2"/>
    </xf>
    <xf numFmtId="0" fontId="0" fillId="11" borderId="3" xfId="0" applyFill="1" applyBorder="1" applyAlignment="1">
      <alignment horizontal="center" vertical="center" readingOrder="2"/>
    </xf>
    <xf numFmtId="0" fontId="0" fillId="11" borderId="4" xfId="0" applyFill="1" applyBorder="1" applyAlignment="1">
      <alignment horizontal="center" vertical="center" readingOrder="2"/>
    </xf>
    <xf numFmtId="0" fontId="0" fillId="8" borderId="6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24" borderId="6" xfId="0" applyFill="1" applyBorder="1" applyAlignment="1">
      <alignment horizontal="center" vertical="center"/>
    </xf>
    <xf numFmtId="0" fontId="0" fillId="24" borderId="2" xfId="0" applyFill="1" applyBorder="1" applyAlignment="1">
      <alignment horizontal="center" vertical="center"/>
    </xf>
    <xf numFmtId="0" fontId="0" fillId="25" borderId="6" xfId="0" applyFill="1" applyBorder="1" applyAlignment="1">
      <alignment horizontal="center" vertical="center"/>
    </xf>
    <xf numFmtId="0" fontId="0" fillId="25" borderId="2" xfId="0" applyFill="1" applyBorder="1" applyAlignment="1">
      <alignment horizontal="center" vertical="center"/>
    </xf>
    <xf numFmtId="0" fontId="0" fillId="21" borderId="6" xfId="0" applyFill="1" applyBorder="1" applyAlignment="1">
      <alignment horizontal="center" vertical="center"/>
    </xf>
    <xf numFmtId="0" fontId="0" fillId="21" borderId="2" xfId="0" applyFill="1" applyBorder="1" applyAlignment="1">
      <alignment horizontal="center" vertical="center"/>
    </xf>
    <xf numFmtId="0" fontId="2" fillId="22" borderId="5" xfId="0" applyFont="1" applyFill="1" applyBorder="1" applyAlignment="1" applyProtection="1">
      <alignment horizontal="center" vertical="center" wrapText="1"/>
    </xf>
    <xf numFmtId="0" fontId="2" fillId="22" borderId="3" xfId="0" applyFont="1" applyFill="1" applyBorder="1" applyAlignment="1" applyProtection="1">
      <alignment horizontal="center" vertical="center" wrapText="1"/>
    </xf>
    <xf numFmtId="0" fontId="2" fillId="22" borderId="8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7" borderId="6" xfId="0" applyFill="1" applyBorder="1" applyAlignment="1">
      <alignment horizontal="center" vertical="center"/>
    </xf>
    <xf numFmtId="0" fontId="0" fillId="27" borderId="2" xfId="0" applyFill="1" applyBorder="1" applyAlignment="1">
      <alignment horizontal="center" vertical="center"/>
    </xf>
    <xf numFmtId="0" fontId="0" fillId="28" borderId="6" xfId="0" applyFill="1" applyBorder="1" applyAlignment="1">
      <alignment horizontal="center" vertical="center"/>
    </xf>
    <xf numFmtId="0" fontId="0" fillId="28" borderId="2" xfId="0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3" borderId="6" xfId="0" applyFill="1" applyBorder="1" applyAlignment="1">
      <alignment horizontal="center" vertical="center"/>
    </xf>
    <xf numFmtId="0" fontId="0" fillId="23" borderId="2" xfId="0" applyFill="1" applyBorder="1" applyAlignment="1">
      <alignment horizontal="center" vertical="center"/>
    </xf>
    <xf numFmtId="0" fontId="2" fillId="4" borderId="17" xfId="0" applyFont="1" applyFill="1" applyBorder="1" applyAlignment="1" applyProtection="1">
      <alignment horizontal="center" vertical="center" wrapText="1"/>
    </xf>
    <xf numFmtId="0" fontId="2" fillId="4" borderId="18" xfId="0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</xf>
    <xf numFmtId="0" fontId="0" fillId="26" borderId="6" xfId="0" applyFill="1" applyBorder="1" applyAlignment="1">
      <alignment horizontal="center" vertical="center"/>
    </xf>
    <xf numFmtId="0" fontId="0" fillId="26" borderId="2" xfId="0" applyFill="1" applyBorder="1" applyAlignment="1">
      <alignment horizontal="center" vertical="center"/>
    </xf>
    <xf numFmtId="0" fontId="0" fillId="16" borderId="6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0" fillId="11" borderId="3" xfId="0" applyFill="1" applyBorder="1" applyAlignment="1" applyProtection="1">
      <alignment horizontal="center" vertical="center" readingOrder="2"/>
      <protection hidden="1"/>
    </xf>
    <xf numFmtId="0" fontId="0" fillId="11" borderId="4" xfId="0" applyFill="1" applyBorder="1" applyAlignment="1" applyProtection="1">
      <alignment horizontal="center" vertical="center" readingOrder="2"/>
      <protection hidden="1"/>
    </xf>
    <xf numFmtId="0" fontId="0" fillId="8" borderId="13" xfId="0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0" fillId="30" borderId="6" xfId="0" applyFill="1" applyBorder="1" applyAlignment="1" applyProtection="1">
      <alignment horizontal="center" vertical="center"/>
      <protection hidden="1"/>
    </xf>
    <xf numFmtId="0" fontId="0" fillId="30" borderId="2" xfId="0" applyFill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60" fillId="0" borderId="0" xfId="0" applyFont="1" applyFill="1" applyBorder="1" applyAlignment="1" applyProtection="1">
      <alignment horizontal="center"/>
    </xf>
    <xf numFmtId="0" fontId="57" fillId="0" borderId="0" xfId="0" applyFont="1" applyFill="1" applyBorder="1" applyAlignment="1" applyProtection="1">
      <alignment horizontal="center"/>
    </xf>
    <xf numFmtId="0" fontId="58" fillId="0" borderId="0" xfId="0" applyFont="1" applyFill="1" applyBorder="1" applyAlignment="1" applyProtection="1">
      <alignment horizontal="center"/>
    </xf>
    <xf numFmtId="0" fontId="22" fillId="8" borderId="5" xfId="0" applyFont="1" applyFill="1" applyBorder="1" applyAlignment="1" applyProtection="1">
      <alignment horizontal="center" vertical="center"/>
      <protection locked="0" hidden="1"/>
    </xf>
    <xf numFmtId="0" fontId="22" fillId="8" borderId="3" xfId="0" applyFont="1" applyFill="1" applyBorder="1" applyAlignment="1" applyProtection="1">
      <alignment horizontal="center" vertical="center"/>
      <protection locked="0" hidden="1"/>
    </xf>
    <xf numFmtId="0" fontId="22" fillId="8" borderId="4" xfId="0" applyFont="1" applyFill="1" applyBorder="1" applyAlignment="1" applyProtection="1">
      <alignment horizontal="center" vertical="center"/>
      <protection locked="0" hidden="1"/>
    </xf>
    <xf numFmtId="0" fontId="20" fillId="0" borderId="0" xfId="0" applyFont="1" applyFill="1" applyAlignment="1" applyProtection="1">
      <alignment horizontal="left" vertical="top" wrapText="1"/>
      <protection hidden="1"/>
    </xf>
    <xf numFmtId="0" fontId="58" fillId="0" borderId="10" xfId="0" applyFont="1" applyFill="1" applyBorder="1" applyAlignment="1" applyProtection="1">
      <alignment horizontal="center"/>
    </xf>
    <xf numFmtId="0" fontId="24" fillId="0" borderId="0" xfId="0" applyFont="1" applyFill="1" applyAlignment="1" applyProtection="1">
      <alignment horizontal="center" vertical="center"/>
      <protection hidden="1"/>
    </xf>
    <xf numFmtId="0" fontId="24" fillId="0" borderId="0" xfId="0" applyFont="1" applyFill="1" applyAlignment="1" applyProtection="1">
      <alignment horizontal="center"/>
      <protection hidden="1"/>
    </xf>
    <xf numFmtId="0" fontId="20" fillId="0" borderId="0" xfId="0" applyFont="1" applyFill="1" applyAlignment="1" applyProtection="1">
      <alignment horizontal="left" vertical="center" wrapText="1"/>
      <protection hidden="1"/>
    </xf>
    <xf numFmtId="0" fontId="24" fillId="0" borderId="11" xfId="0" applyFont="1" applyFill="1" applyBorder="1" applyAlignment="1" applyProtection="1">
      <alignment horizontal="center" vertical="center" wrapText="1"/>
      <protection hidden="1"/>
    </xf>
    <xf numFmtId="0" fontId="24" fillId="0" borderId="2" xfId="0" applyFont="1" applyFill="1" applyBorder="1" applyAlignment="1" applyProtection="1">
      <alignment horizontal="center" vertical="center" wrapText="1"/>
      <protection hidden="1"/>
    </xf>
    <xf numFmtId="0" fontId="20" fillId="0" borderId="11" xfId="0" applyFont="1" applyFill="1" applyBorder="1" applyAlignment="1" applyProtection="1">
      <alignment horizontal="center" vertical="center" wrapText="1"/>
      <protection hidden="1"/>
    </xf>
    <xf numFmtId="0" fontId="20" fillId="0" borderId="2" xfId="0" applyFont="1" applyFill="1" applyBorder="1" applyAlignment="1" applyProtection="1">
      <alignment horizontal="center" vertical="center" wrapText="1"/>
      <protection hidden="1"/>
    </xf>
    <xf numFmtId="0" fontId="24" fillId="0" borderId="6" xfId="0" applyFont="1" applyFill="1" applyBorder="1" applyAlignment="1" applyProtection="1">
      <alignment horizontal="center" vertical="center" wrapText="1"/>
      <protection hidden="1"/>
    </xf>
    <xf numFmtId="0" fontId="20" fillId="0" borderId="6" xfId="0" applyFont="1" applyFill="1" applyBorder="1" applyAlignment="1" applyProtection="1">
      <alignment horizontal="center" vertical="center" wrapText="1"/>
      <protection hidden="1"/>
    </xf>
    <xf numFmtId="167" fontId="20" fillId="0" borderId="6" xfId="0" applyNumberFormat="1" applyFont="1" applyFill="1" applyBorder="1" applyAlignment="1" applyProtection="1">
      <alignment horizontal="left" vertical="center" wrapText="1"/>
      <protection hidden="1"/>
    </xf>
    <xf numFmtId="167" fontId="20" fillId="0" borderId="11" xfId="0" applyNumberFormat="1" applyFont="1" applyFill="1" applyBorder="1" applyAlignment="1" applyProtection="1">
      <alignment horizontal="left" vertical="center" wrapText="1"/>
      <protection hidden="1"/>
    </xf>
    <xf numFmtId="167" fontId="20" fillId="0" borderId="2" xfId="0" applyNumberFormat="1" applyFont="1" applyFill="1" applyBorder="1" applyAlignment="1" applyProtection="1">
      <alignment horizontal="left" vertical="center" wrapText="1"/>
      <protection hidden="1"/>
    </xf>
    <xf numFmtId="167" fontId="24" fillId="0" borderId="6" xfId="0" applyNumberFormat="1" applyFont="1" applyFill="1" applyBorder="1" applyAlignment="1" applyProtection="1">
      <alignment horizontal="center" vertical="center" wrapText="1"/>
      <protection hidden="1"/>
    </xf>
    <xf numFmtId="167" fontId="24" fillId="0" borderId="11" xfId="0" applyNumberFormat="1" applyFont="1" applyFill="1" applyBorder="1" applyAlignment="1" applyProtection="1">
      <alignment horizontal="center" vertical="center" wrapText="1"/>
      <protection hidden="1"/>
    </xf>
    <xf numFmtId="167" fontId="24" fillId="0" borderId="2" xfId="0" applyNumberFormat="1" applyFont="1" applyFill="1" applyBorder="1" applyAlignment="1" applyProtection="1">
      <alignment horizontal="center" vertical="center" wrapText="1"/>
      <protection hidden="1"/>
    </xf>
    <xf numFmtId="2" fontId="20" fillId="0" borderId="5" xfId="0" applyNumberFormat="1" applyFont="1" applyFill="1" applyBorder="1" applyAlignment="1" applyProtection="1">
      <alignment horizontal="center" vertical="center"/>
      <protection hidden="1"/>
    </xf>
    <xf numFmtId="2" fontId="20" fillId="0" borderId="3" xfId="0" applyNumberFormat="1" applyFont="1" applyFill="1" applyBorder="1" applyAlignment="1" applyProtection="1">
      <alignment horizontal="center" vertical="center"/>
      <protection hidden="1"/>
    </xf>
    <xf numFmtId="2" fontId="20" fillId="0" borderId="4" xfId="0" applyNumberFormat="1" applyFont="1" applyFill="1" applyBorder="1" applyAlignment="1" applyProtection="1">
      <alignment horizontal="center" vertical="center"/>
      <protection hidden="1"/>
    </xf>
    <xf numFmtId="0" fontId="59" fillId="0" borderId="5" xfId="0" applyFont="1" applyFill="1" applyBorder="1" applyAlignment="1" applyProtection="1">
      <alignment horizontal="center" vertical="center" wrapText="1"/>
      <protection hidden="1"/>
    </xf>
    <xf numFmtId="0" fontId="59" fillId="0" borderId="3" xfId="0" applyFont="1" applyFill="1" applyBorder="1" applyAlignment="1" applyProtection="1">
      <alignment horizontal="center" vertical="center" wrapText="1"/>
      <protection hidden="1"/>
    </xf>
    <xf numFmtId="0" fontId="59" fillId="0" borderId="4" xfId="0" applyFont="1" applyFill="1" applyBorder="1" applyAlignment="1" applyProtection="1">
      <alignment horizontal="center" vertical="center" wrapText="1"/>
      <protection hidden="1"/>
    </xf>
    <xf numFmtId="0" fontId="20" fillId="0" borderId="6" xfId="0" applyFont="1" applyFill="1" applyBorder="1" applyAlignment="1" applyProtection="1">
      <alignment horizontal="left" vertical="center" wrapText="1"/>
      <protection hidden="1"/>
    </xf>
    <xf numFmtId="0" fontId="20" fillId="0" borderId="11" xfId="0" applyFont="1" applyFill="1" applyBorder="1" applyAlignment="1" applyProtection="1">
      <alignment horizontal="left" vertical="center" wrapText="1"/>
      <protection hidden="1"/>
    </xf>
    <xf numFmtId="0" fontId="20" fillId="0" borderId="2" xfId="0" applyFont="1" applyFill="1" applyBorder="1" applyAlignment="1" applyProtection="1">
      <alignment horizontal="left" vertical="center" wrapText="1"/>
      <protection hidden="1"/>
    </xf>
    <xf numFmtId="167" fontId="20" fillId="0" borderId="6" xfId="0" applyNumberFormat="1" applyFont="1" applyFill="1" applyBorder="1" applyAlignment="1" applyProtection="1">
      <alignment horizontal="left" vertical="top"/>
      <protection hidden="1"/>
    </xf>
    <xf numFmtId="167" fontId="20" fillId="0" borderId="11" xfId="0" applyNumberFormat="1" applyFont="1" applyFill="1" applyBorder="1" applyAlignment="1" applyProtection="1">
      <alignment horizontal="left" vertical="top"/>
      <protection hidden="1"/>
    </xf>
    <xf numFmtId="167" fontId="20" fillId="0" borderId="2" xfId="0" applyNumberFormat="1" applyFont="1" applyFill="1" applyBorder="1" applyAlignment="1" applyProtection="1">
      <alignment horizontal="left" vertical="top"/>
      <protection hidden="1"/>
    </xf>
    <xf numFmtId="0" fontId="20" fillId="0" borderId="12" xfId="0" applyFont="1" applyFill="1" applyBorder="1" applyAlignment="1" applyProtection="1">
      <alignment horizontal="center" vertical="center" wrapText="1"/>
      <protection hidden="1"/>
    </xf>
    <xf numFmtId="0" fontId="20" fillId="0" borderId="13" xfId="0" applyFont="1" applyFill="1" applyBorder="1" applyAlignment="1" applyProtection="1">
      <alignment horizontal="center" vertical="center" wrapText="1"/>
      <protection hidden="1"/>
    </xf>
    <xf numFmtId="0" fontId="20" fillId="0" borderId="14" xfId="0" applyFont="1" applyFill="1" applyBorder="1" applyAlignment="1" applyProtection="1">
      <alignment horizontal="center" vertical="center" wrapText="1"/>
      <protection hidden="1"/>
    </xf>
    <xf numFmtId="0" fontId="24" fillId="0" borderId="17" xfId="0" applyFont="1" applyFill="1" applyBorder="1" applyAlignment="1" applyProtection="1">
      <alignment horizontal="center" vertical="center" wrapText="1"/>
      <protection hidden="1"/>
    </xf>
    <xf numFmtId="0" fontId="24" fillId="0" borderId="16" xfId="0" applyFont="1" applyFill="1" applyBorder="1" applyAlignment="1" applyProtection="1">
      <alignment horizontal="center" vertical="center" wrapText="1"/>
      <protection hidden="1"/>
    </xf>
    <xf numFmtId="0" fontId="24" fillId="0" borderId="18" xfId="0" applyFont="1" applyFill="1" applyBorder="1" applyAlignment="1" applyProtection="1">
      <alignment horizontal="center" vertical="center" wrapText="1"/>
      <protection hidden="1"/>
    </xf>
    <xf numFmtId="0" fontId="24" fillId="0" borderId="12" xfId="0" applyFont="1" applyFill="1" applyBorder="1" applyAlignment="1" applyProtection="1">
      <alignment horizontal="center" vertical="center" wrapText="1"/>
      <protection hidden="1"/>
    </xf>
    <xf numFmtId="0" fontId="24" fillId="0" borderId="13" xfId="0" applyFont="1" applyFill="1" applyBorder="1" applyAlignment="1" applyProtection="1">
      <alignment horizontal="center" vertical="center" wrapText="1"/>
      <protection hidden="1"/>
    </xf>
    <xf numFmtId="0" fontId="24" fillId="0" borderId="14" xfId="0" applyFont="1" applyFill="1" applyBorder="1" applyAlignment="1" applyProtection="1">
      <alignment horizontal="center" vertical="center" wrapText="1"/>
      <protection hidden="1"/>
    </xf>
    <xf numFmtId="0" fontId="24" fillId="0" borderId="15" xfId="0" applyFont="1" applyFill="1" applyBorder="1" applyAlignment="1" applyProtection="1">
      <alignment horizontal="center" vertical="center" wrapText="1"/>
      <protection hidden="1"/>
    </xf>
    <xf numFmtId="0" fontId="2" fillId="14" borderId="6" xfId="0" applyNumberFormat="1" applyFont="1" applyFill="1" applyBorder="1" applyAlignment="1" applyProtection="1">
      <alignment horizontal="center" vertical="center"/>
    </xf>
    <xf numFmtId="0" fontId="2" fillId="14" borderId="11" xfId="0" applyNumberFormat="1" applyFont="1" applyFill="1" applyBorder="1" applyAlignment="1" applyProtection="1">
      <alignment horizontal="center" vertical="center"/>
    </xf>
    <xf numFmtId="0" fontId="2" fillId="14" borderId="2" xfId="0" applyNumberFormat="1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11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2" fillId="4" borderId="11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0" fillId="14" borderId="6" xfId="0" applyNumberFormat="1" applyFill="1" applyBorder="1" applyAlignment="1" applyProtection="1">
      <alignment horizontal="center" vertical="center"/>
    </xf>
    <xf numFmtId="0" fontId="0" fillId="14" borderId="11" xfId="0" applyNumberFormat="1" applyFill="1" applyBorder="1" applyAlignment="1" applyProtection="1">
      <alignment horizontal="center" vertical="center"/>
    </xf>
    <xf numFmtId="0" fontId="0" fillId="14" borderId="2" xfId="0" applyNumberFormat="1" applyFill="1" applyBorder="1" applyAlignment="1" applyProtection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0" fillId="11" borderId="9" xfId="0" applyFill="1" applyBorder="1" applyAlignment="1" applyProtection="1">
      <alignment horizontal="center" vertical="center" readingOrder="2"/>
      <protection hidden="1"/>
    </xf>
    <xf numFmtId="0" fontId="13" fillId="0" borderId="0" xfId="0" applyFont="1" applyAlignment="1" applyProtection="1">
      <alignment horizontal="center" vertical="center"/>
    </xf>
    <xf numFmtId="0" fontId="20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2" xfId="0" applyNumberFormat="1" applyFont="1" applyFill="1" applyBorder="1" applyAlignment="1" applyProtection="1">
      <alignment horizontal="center" vertical="center" wrapText="1"/>
      <protection hidden="1"/>
    </xf>
    <xf numFmtId="2" fontId="24" fillId="0" borderId="6" xfId="0" applyNumberFormat="1" applyFont="1" applyFill="1" applyBorder="1" applyAlignment="1" applyProtection="1">
      <alignment horizontal="center" vertical="center" wrapText="1"/>
      <protection hidden="1"/>
    </xf>
    <xf numFmtId="2" fontId="24" fillId="0" borderId="2" xfId="0" applyNumberFormat="1" applyFont="1" applyFill="1" applyBorder="1" applyAlignment="1" applyProtection="1">
      <alignment horizontal="center" vertical="center" wrapText="1"/>
      <protection hidden="1"/>
    </xf>
    <xf numFmtId="167" fontId="20" fillId="0" borderId="1" xfId="0" applyNumberFormat="1" applyFont="1" applyFill="1" applyBorder="1" applyAlignment="1" applyProtection="1">
      <alignment horizontal="left" vertical="center" wrapText="1"/>
      <protection hidden="1"/>
    </xf>
    <xf numFmtId="0" fontId="56" fillId="0" borderId="0" xfId="0" applyFont="1" applyFill="1" applyAlignment="1" applyProtection="1">
      <alignment horizontal="left" vertical="justify" wrapText="1"/>
    </xf>
    <xf numFmtId="0" fontId="24" fillId="0" borderId="5" xfId="0" applyFont="1" applyFill="1" applyBorder="1" applyAlignment="1" applyProtection="1">
      <alignment horizontal="center" vertical="center" wrapText="1"/>
      <protection hidden="1"/>
    </xf>
    <xf numFmtId="0" fontId="24" fillId="0" borderId="4" xfId="0" applyFont="1" applyFill="1" applyBorder="1" applyAlignment="1" applyProtection="1">
      <alignment horizontal="center" vertical="center" wrapText="1"/>
      <protection hidden="1"/>
    </xf>
    <xf numFmtId="0" fontId="62" fillId="0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vertical="center"/>
      <protection hidden="1"/>
    </xf>
    <xf numFmtId="167" fontId="20" fillId="2" borderId="5" xfId="0" applyNumberFormat="1" applyFont="1" applyFill="1" applyBorder="1" applyAlignment="1" applyProtection="1">
      <alignment horizontal="center" vertical="center"/>
      <protection hidden="1"/>
    </xf>
    <xf numFmtId="167" fontId="20" fillId="2" borderId="3" xfId="0" applyNumberFormat="1" applyFont="1" applyFill="1" applyBorder="1" applyAlignment="1" applyProtection="1">
      <alignment horizontal="center" vertical="center"/>
      <protection hidden="1"/>
    </xf>
    <xf numFmtId="167" fontId="20" fillId="2" borderId="4" xfId="0" applyNumberFormat="1" applyFont="1" applyFill="1" applyBorder="1" applyAlignment="1" applyProtection="1">
      <alignment horizontal="center" vertical="center"/>
      <protection hidden="1"/>
    </xf>
    <xf numFmtId="167" fontId="24" fillId="2" borderId="6" xfId="0" applyNumberFormat="1" applyFont="1" applyFill="1" applyBorder="1" applyAlignment="1" applyProtection="1">
      <alignment horizontal="center" vertical="center" wrapText="1"/>
      <protection hidden="1"/>
    </xf>
    <xf numFmtId="167" fontId="24" fillId="2" borderId="11" xfId="0" applyNumberFormat="1" applyFont="1" applyFill="1" applyBorder="1" applyAlignment="1" applyProtection="1">
      <alignment horizontal="center" vertical="center" wrapText="1"/>
      <protection hidden="1"/>
    </xf>
    <xf numFmtId="167" fontId="24" fillId="2" borderId="2" xfId="0" applyNumberFormat="1" applyFont="1" applyFill="1" applyBorder="1" applyAlignment="1" applyProtection="1">
      <alignment horizontal="center" vertical="center" wrapText="1"/>
      <protection hidden="1"/>
    </xf>
    <xf numFmtId="167" fontId="24" fillId="2" borderId="6" xfId="0" applyNumberFormat="1" applyFont="1" applyFill="1" applyBorder="1" applyAlignment="1" applyProtection="1">
      <alignment horizontal="left" vertical="top"/>
      <protection hidden="1"/>
    </xf>
    <xf numFmtId="167" fontId="24" fillId="2" borderId="11" xfId="0" applyNumberFormat="1" applyFont="1" applyFill="1" applyBorder="1" applyAlignment="1" applyProtection="1">
      <alignment horizontal="left" vertical="top"/>
      <protection hidden="1"/>
    </xf>
    <xf numFmtId="167" fontId="24" fillId="2" borderId="2" xfId="0" applyNumberFormat="1" applyFont="1" applyFill="1" applyBorder="1" applyAlignment="1" applyProtection="1">
      <alignment horizontal="left" vertical="top"/>
      <protection hidden="1"/>
    </xf>
    <xf numFmtId="0" fontId="24" fillId="2" borderId="6" xfId="0" applyFont="1" applyFill="1" applyBorder="1" applyAlignment="1" applyProtection="1">
      <alignment horizontal="left" vertical="center" wrapText="1"/>
      <protection hidden="1"/>
    </xf>
    <xf numFmtId="0" fontId="24" fillId="2" borderId="11" xfId="0" applyFont="1" applyFill="1" applyBorder="1" applyAlignment="1" applyProtection="1">
      <alignment horizontal="left" vertical="center" wrapText="1"/>
      <protection hidden="1"/>
    </xf>
    <xf numFmtId="0" fontId="24" fillId="2" borderId="2" xfId="0" applyFont="1" applyFill="1" applyBorder="1" applyAlignment="1" applyProtection="1">
      <alignment horizontal="left" vertical="center" wrapText="1"/>
      <protection hidden="1"/>
    </xf>
    <xf numFmtId="167" fontId="20" fillId="0" borderId="6" xfId="0" applyNumberFormat="1" applyFont="1" applyFill="1" applyBorder="1" applyAlignment="1" applyProtection="1">
      <alignment horizontal="left" vertical="center" wrapText="1"/>
      <protection locked="0" hidden="1"/>
    </xf>
    <xf numFmtId="167" fontId="20" fillId="0" borderId="11" xfId="0" applyNumberFormat="1" applyFont="1" applyFill="1" applyBorder="1" applyAlignment="1" applyProtection="1">
      <alignment horizontal="left" vertical="center" wrapText="1"/>
      <protection locked="0" hidden="1"/>
    </xf>
    <xf numFmtId="167" fontId="20" fillId="0" borderId="2" xfId="0" applyNumberFormat="1" applyFont="1" applyFill="1" applyBorder="1" applyAlignment="1" applyProtection="1">
      <alignment horizontal="left" vertical="center" wrapText="1"/>
      <protection locked="0" hidden="1"/>
    </xf>
    <xf numFmtId="167" fontId="20" fillId="2" borderId="6" xfId="0" applyNumberFormat="1" applyFont="1" applyFill="1" applyBorder="1" applyAlignment="1" applyProtection="1">
      <alignment horizontal="left" vertical="center" wrapText="1"/>
      <protection locked="0" hidden="1"/>
    </xf>
    <xf numFmtId="167" fontId="20" fillId="2" borderId="11" xfId="0" applyNumberFormat="1" applyFont="1" applyFill="1" applyBorder="1" applyAlignment="1" applyProtection="1">
      <alignment horizontal="left" vertical="center" wrapText="1"/>
      <protection locked="0" hidden="1"/>
    </xf>
    <xf numFmtId="167" fontId="20" fillId="2" borderId="2" xfId="0" applyNumberFormat="1" applyFont="1" applyFill="1" applyBorder="1" applyAlignment="1" applyProtection="1">
      <alignment horizontal="left" vertical="center" wrapText="1"/>
      <protection locked="0" hidden="1"/>
    </xf>
    <xf numFmtId="0" fontId="32" fillId="4" borderId="19" xfId="0" applyFont="1" applyFill="1" applyBorder="1" applyAlignment="1" applyProtection="1">
      <alignment horizontal="center" vertical="center"/>
      <protection locked="0" hidden="1"/>
    </xf>
    <xf numFmtId="0" fontId="32" fillId="4" borderId="20" xfId="0" applyFont="1" applyFill="1" applyBorder="1" applyAlignment="1" applyProtection="1">
      <alignment horizontal="center" vertical="center"/>
      <protection locked="0" hidden="1"/>
    </xf>
    <xf numFmtId="0" fontId="24" fillId="2" borderId="5" xfId="0" applyFont="1" applyFill="1" applyBorder="1" applyAlignment="1" applyProtection="1">
      <alignment horizontal="center" vertical="center" wrapText="1"/>
      <protection hidden="1"/>
    </xf>
    <xf numFmtId="0" fontId="24" fillId="2" borderId="4" xfId="0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Alignment="1" applyProtection="1">
      <alignment horizontal="center" vertical="center"/>
      <protection hidden="1"/>
    </xf>
    <xf numFmtId="0" fontId="24" fillId="2" borderId="17" xfId="0" applyFont="1" applyFill="1" applyBorder="1" applyAlignment="1" applyProtection="1">
      <alignment horizontal="center" vertical="center" wrapText="1"/>
      <protection hidden="1"/>
    </xf>
    <xf numFmtId="0" fontId="24" fillId="2" borderId="16" xfId="0" applyFont="1" applyFill="1" applyBorder="1" applyAlignment="1" applyProtection="1">
      <alignment horizontal="center" vertical="center" wrapText="1"/>
      <protection hidden="1"/>
    </xf>
    <xf numFmtId="0" fontId="24" fillId="2" borderId="18" xfId="0" applyFont="1" applyFill="1" applyBorder="1" applyAlignment="1" applyProtection="1">
      <alignment horizontal="center" vertical="center" wrapText="1"/>
      <protection hidden="1"/>
    </xf>
    <xf numFmtId="0" fontId="24" fillId="2" borderId="12" xfId="0" applyFont="1" applyFill="1" applyBorder="1" applyAlignment="1" applyProtection="1">
      <alignment horizontal="center" vertical="center" wrapText="1"/>
      <protection hidden="1"/>
    </xf>
    <xf numFmtId="0" fontId="24" fillId="2" borderId="13" xfId="0" applyFont="1" applyFill="1" applyBorder="1" applyAlignment="1" applyProtection="1">
      <alignment horizontal="center" vertical="center" wrapText="1"/>
      <protection hidden="1"/>
    </xf>
    <xf numFmtId="0" fontId="24" fillId="2" borderId="14" xfId="0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21" fillId="0" borderId="0" xfId="0" applyFont="1" applyFill="1" applyAlignment="1" applyProtection="1">
      <alignment horizontal="center" vertical="center" wrapText="1"/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22" fillId="8" borderId="19" xfId="0" applyFont="1" applyFill="1" applyBorder="1" applyAlignment="1" applyProtection="1">
      <alignment horizontal="center" vertical="center"/>
      <protection locked="0" hidden="1"/>
    </xf>
    <xf numFmtId="0" fontId="22" fillId="8" borderId="20" xfId="0" applyFont="1" applyFill="1" applyBorder="1" applyAlignment="1" applyProtection="1">
      <alignment horizontal="center" vertical="center"/>
      <protection locked="0" hidden="1"/>
    </xf>
    <xf numFmtId="0" fontId="23" fillId="0" borderId="0" xfId="0" applyFont="1" applyFill="1" applyAlignment="1" applyProtection="1">
      <alignment horizontal="center" vertical="center"/>
      <protection hidden="1"/>
    </xf>
    <xf numFmtId="0" fontId="20" fillId="0" borderId="0" xfId="0" applyFont="1" applyFill="1" applyAlignment="1" applyProtection="1">
      <alignment horizontal="center" vertical="center"/>
      <protection hidden="1"/>
    </xf>
    <xf numFmtId="0" fontId="35" fillId="20" borderId="5" xfId="0" applyFont="1" applyFill="1" applyBorder="1" applyAlignment="1" applyProtection="1">
      <alignment horizontal="center" vertical="center"/>
      <protection hidden="1"/>
    </xf>
    <xf numFmtId="0" fontId="35" fillId="20" borderId="3" xfId="0" applyFont="1" applyFill="1" applyBorder="1" applyAlignment="1" applyProtection="1">
      <alignment horizontal="center" vertical="center"/>
      <protection hidden="1"/>
    </xf>
    <xf numFmtId="0" fontId="35" fillId="20" borderId="4" xfId="0" applyFont="1" applyFill="1" applyBorder="1" applyAlignment="1" applyProtection="1">
      <alignment horizontal="center" vertical="center"/>
      <protection hidden="1"/>
    </xf>
    <xf numFmtId="0" fontId="35" fillId="20" borderId="5" xfId="0" applyFont="1" applyFill="1" applyBorder="1" applyAlignment="1" applyProtection="1">
      <alignment horizontal="center" vertical="center" wrapText="1"/>
      <protection hidden="1"/>
    </xf>
    <xf numFmtId="0" fontId="35" fillId="20" borderId="3" xfId="0" applyFont="1" applyFill="1" applyBorder="1" applyAlignment="1" applyProtection="1">
      <alignment horizontal="center" vertical="center" wrapText="1"/>
      <protection hidden="1"/>
    </xf>
    <xf numFmtId="0" fontId="35" fillId="20" borderId="4" xfId="0" applyFont="1" applyFill="1" applyBorder="1" applyAlignment="1" applyProtection="1">
      <alignment horizontal="center" vertical="center" wrapText="1"/>
      <protection hidden="1"/>
    </xf>
    <xf numFmtId="0" fontId="35" fillId="20" borderId="1" xfId="0" applyFont="1" applyFill="1" applyBorder="1" applyAlignment="1" applyProtection="1">
      <alignment horizontal="center"/>
      <protection hidden="1"/>
    </xf>
    <xf numFmtId="0" fontId="35" fillId="20" borderId="6" xfId="0" applyFont="1" applyFill="1" applyBorder="1" applyAlignment="1" applyProtection="1">
      <alignment horizontal="center"/>
      <protection hidden="1"/>
    </xf>
    <xf numFmtId="0" fontId="35" fillId="20" borderId="11" xfId="0" applyFont="1" applyFill="1" applyBorder="1" applyAlignment="1" applyProtection="1">
      <alignment horizontal="center"/>
      <protection hidden="1"/>
    </xf>
    <xf numFmtId="0" fontId="35" fillId="20" borderId="2" xfId="0" applyFont="1" applyFill="1" applyBorder="1" applyAlignment="1" applyProtection="1">
      <alignment horizontal="center"/>
      <protection hidden="1"/>
    </xf>
    <xf numFmtId="0" fontId="35" fillId="20" borderId="1" xfId="0" applyFont="1" applyFill="1" applyBorder="1" applyAlignment="1" applyProtection="1">
      <alignment horizontal="center" vertical="center"/>
      <protection hidden="1"/>
    </xf>
    <xf numFmtId="0" fontId="0" fillId="20" borderId="5" xfId="0" applyFill="1" applyBorder="1" applyAlignment="1">
      <alignment horizontal="center" vertical="center"/>
    </xf>
    <xf numFmtId="0" fontId="0" fillId="20" borderId="3" xfId="0" applyFill="1" applyBorder="1" applyAlignment="1">
      <alignment horizontal="center" vertical="center"/>
    </xf>
    <xf numFmtId="0" fontId="0" fillId="20" borderId="4" xfId="0" applyFill="1" applyBorder="1" applyAlignment="1">
      <alignment horizontal="center" vertical="center"/>
    </xf>
    <xf numFmtId="0" fontId="0" fillId="20" borderId="6" xfId="0" applyFill="1" applyBorder="1" applyAlignment="1">
      <alignment horizontal="center"/>
    </xf>
    <xf numFmtId="0" fontId="0" fillId="20" borderId="11" xfId="0" applyFill="1" applyBorder="1" applyAlignment="1">
      <alignment horizontal="center"/>
    </xf>
    <xf numFmtId="0" fontId="0" fillId="20" borderId="1" xfId="0" applyFill="1" applyBorder="1" applyAlignment="1">
      <alignment horizontal="center" vertical="center"/>
    </xf>
    <xf numFmtId="0" fontId="0" fillId="2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4" fillId="2" borderId="5" xfId="0" applyFont="1" applyFill="1" applyBorder="1" applyAlignment="1">
      <alignment horizontal="center" vertical="center" textRotation="90" wrapText="1" readingOrder="1"/>
    </xf>
    <xf numFmtId="0" fontId="44" fillId="2" borderId="3" xfId="0" applyFont="1" applyFill="1" applyBorder="1" applyAlignment="1">
      <alignment horizontal="center" vertical="center" textRotation="90" wrapText="1" readingOrder="1"/>
    </xf>
    <xf numFmtId="0" fontId="44" fillId="2" borderId="8" xfId="0" applyFont="1" applyFill="1" applyBorder="1" applyAlignment="1">
      <alignment horizontal="center" vertical="center" textRotation="90" wrapText="1" readingOrder="1"/>
    </xf>
    <xf numFmtId="0" fontId="34" fillId="2" borderId="5" xfId="0" applyFont="1" applyFill="1" applyBorder="1" applyAlignment="1">
      <alignment horizontal="center" vertical="center" textRotation="90" wrapText="1" readingOrder="1"/>
    </xf>
    <xf numFmtId="0" fontId="34" fillId="2" borderId="3" xfId="0" applyFont="1" applyFill="1" applyBorder="1" applyAlignment="1">
      <alignment horizontal="center" vertical="center" textRotation="90" wrapText="1" readingOrder="1"/>
    </xf>
    <xf numFmtId="0" fontId="34" fillId="2" borderId="8" xfId="0" applyFont="1" applyFill="1" applyBorder="1" applyAlignment="1">
      <alignment horizontal="center" vertical="center" textRotation="90" wrapText="1" readingOrder="1"/>
    </xf>
    <xf numFmtId="0" fontId="34" fillId="2" borderId="6" xfId="0" applyFont="1" applyFill="1" applyBorder="1" applyAlignment="1">
      <alignment horizontal="center" vertical="center" wrapText="1" readingOrder="1"/>
    </xf>
    <xf numFmtId="0" fontId="34" fillId="2" borderId="11" xfId="0" applyFont="1" applyFill="1" applyBorder="1" applyAlignment="1">
      <alignment horizontal="center" vertical="center" wrapText="1" readingOrder="1"/>
    </xf>
    <xf numFmtId="0" fontId="34" fillId="2" borderId="2" xfId="0" applyFont="1" applyFill="1" applyBorder="1" applyAlignment="1">
      <alignment horizontal="center" vertical="center" wrapText="1" readingOrder="1"/>
    </xf>
    <xf numFmtId="0" fontId="60" fillId="0" borderId="0" xfId="0" applyFont="1" applyAlignment="1">
      <alignment horizontal="center" vertical="center"/>
    </xf>
    <xf numFmtId="0" fontId="56" fillId="0" borderId="1" xfId="0" applyFont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/>
    <cellStyle name="Normal 3" xfId="2"/>
  </cellStyles>
  <dxfs count="7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CCFF"/>
      <color rgb="FF930782"/>
      <color rgb="FFFE5E69"/>
      <color rgb="FFF5456F"/>
      <color rgb="FF000000"/>
      <color rgb="FF009999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AC$12" max="200" min="1" page="10" val="15"/>
</file>

<file path=xl/ctrlProps/ctrlProp2.xml><?xml version="1.0" encoding="utf-8"?>
<formControlPr xmlns="http://schemas.microsoft.com/office/spreadsheetml/2009/9/main" objectType="Spin" dx="16" fmlaLink="$N$16" max="200" min="1" page="10" val="15"/>
</file>

<file path=xl/ctrlProps/ctrlProp3.xml><?xml version="1.0" encoding="utf-8"?>
<formControlPr xmlns="http://schemas.microsoft.com/office/spreadsheetml/2009/9/main" objectType="Spin" dx="16" fmlaLink="$M$9" max="200" min="1" page="10"/>
</file>

<file path=xl/ctrlProps/ctrlProp4.xml><?xml version="1.0" encoding="utf-8"?>
<formControlPr xmlns="http://schemas.microsoft.com/office/spreadsheetml/2009/9/main" objectType="Spin" dx="16" fmlaLink="$N$9" max="200" min="1" page="10" val="30"/>
</file>

<file path=xl/ctrlProps/ctrlProp5.xml><?xml version="1.0" encoding="utf-8"?>
<formControlPr xmlns="http://schemas.microsoft.com/office/spreadsheetml/2009/9/main" objectType="Spin" dx="16" fmlaLink="#REF!" max="200" min="1" page="10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KL VI SMT 1'!A1"/><Relationship Id="rId13" Type="http://schemas.openxmlformats.org/officeDocument/2006/relationships/hyperlink" Target="#LOG!A1"/><Relationship Id="rId18" Type="http://schemas.openxmlformats.org/officeDocument/2006/relationships/hyperlink" Target="#IJAZAH!A1"/><Relationship Id="rId3" Type="http://schemas.openxmlformats.org/officeDocument/2006/relationships/hyperlink" Target="#'KL IV SMT 2'!A1"/><Relationship Id="rId21" Type="http://schemas.openxmlformats.org/officeDocument/2006/relationships/hyperlink" Target="#'IJAZAH NILAI'!A1"/><Relationship Id="rId7" Type="http://schemas.openxmlformats.org/officeDocument/2006/relationships/hyperlink" Target="#'NILAI GABUNGAN'!A1"/><Relationship Id="rId12" Type="http://schemas.openxmlformats.org/officeDocument/2006/relationships/image" Target="../media/image1.png"/><Relationship Id="rId17" Type="http://schemas.openxmlformats.org/officeDocument/2006/relationships/hyperlink" Target="#RENTANG!A1"/><Relationship Id="rId2" Type="http://schemas.openxmlformats.org/officeDocument/2006/relationships/hyperlink" Target="#'KL IV SMT 1'!A1"/><Relationship Id="rId16" Type="http://schemas.openxmlformats.org/officeDocument/2006/relationships/hyperlink" Target="#'L KILAT'!A1"/><Relationship Id="rId20" Type="http://schemas.openxmlformats.org/officeDocument/2006/relationships/hyperlink" Target="#'TTD TRD'!A1"/><Relationship Id="rId1" Type="http://schemas.openxmlformats.org/officeDocument/2006/relationships/hyperlink" Target="#'NA IJAZAH'!A1"/><Relationship Id="rId6" Type="http://schemas.openxmlformats.org/officeDocument/2006/relationships/hyperlink" Target="#'REKAP RAPOR'!A1"/><Relationship Id="rId11" Type="http://schemas.openxmlformats.org/officeDocument/2006/relationships/hyperlink" Target="#PENGATURAN!A1"/><Relationship Id="rId5" Type="http://schemas.openxmlformats.org/officeDocument/2006/relationships/hyperlink" Target="#'KL V SMT 2'!A1"/><Relationship Id="rId15" Type="http://schemas.openxmlformats.org/officeDocument/2006/relationships/hyperlink" Target="#'SUKET RAPOR'!A1"/><Relationship Id="rId23" Type="http://schemas.openxmlformats.org/officeDocument/2006/relationships/hyperlink" Target="#'SURAT LULUS'!A1"/><Relationship Id="rId10" Type="http://schemas.openxmlformats.org/officeDocument/2006/relationships/hyperlink" Target="#'Data Siswa'!A1"/><Relationship Id="rId19" Type="http://schemas.openxmlformats.org/officeDocument/2006/relationships/hyperlink" Target="#PRILAKU!A1"/><Relationship Id="rId4" Type="http://schemas.openxmlformats.org/officeDocument/2006/relationships/hyperlink" Target="#'KL V SMT 1'!A1"/><Relationship Id="rId9" Type="http://schemas.openxmlformats.org/officeDocument/2006/relationships/hyperlink" Target="#USD!A1"/><Relationship Id="rId14" Type="http://schemas.openxmlformats.org/officeDocument/2006/relationships/hyperlink" Target="#'KIRIM DINAS-PPDB'!A1"/><Relationship Id="rId22" Type="http://schemas.openxmlformats.org/officeDocument/2006/relationships/hyperlink" Target="#LOG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GABUNGAN US RAPOR'!A1"/><Relationship Id="rId1" Type="http://schemas.openxmlformats.org/officeDocument/2006/relationships/hyperlink" Target="#PENGATURAN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PENGATURAN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NILAI US (TO3)'!A1"/><Relationship Id="rId2" Type="http://schemas.openxmlformats.org/officeDocument/2006/relationships/hyperlink" Target="#'REKAP RAPORT'!A1"/><Relationship Id="rId1" Type="http://schemas.openxmlformats.org/officeDocument/2006/relationships/hyperlink" Target="#PENGATURAN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JAZAH!A1"/><Relationship Id="rId1" Type="http://schemas.openxmlformats.org/officeDocument/2006/relationships/hyperlink" Target="#PENGATURAN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LULUS"/><Relationship Id="rId2" Type="http://schemas.openxmlformats.org/officeDocument/2006/relationships/image" Target="../media/image3.png"/><Relationship Id="rId1" Type="http://schemas.openxmlformats.org/officeDocument/2006/relationships/hyperlink" Target="#PENGATURAN!A1"/><Relationship Id="rId5" Type="http://schemas.openxmlformats.org/officeDocument/2006/relationships/image" Target="../media/image2.png"/><Relationship Id="rId4" Type="http://schemas.openxmlformats.org/officeDocument/2006/relationships/hyperlink" Target="#US_GABUNGAN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PENGATURAN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PENGATURAN!A1"/><Relationship Id="rId1" Type="http://schemas.openxmlformats.org/officeDocument/2006/relationships/image" Target="../media/image4.gi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PENGATURAN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PENGATURAN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'REKAP RAPORT'!A1"/><Relationship Id="rId1" Type="http://schemas.openxmlformats.org/officeDocument/2006/relationships/hyperlink" Target="#PENGATURA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PENGATURAN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PENGATURAN!A1"/><Relationship Id="rId1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PENGATURAN!A1"/><Relationship Id="rId2" Type="http://schemas.openxmlformats.org/officeDocument/2006/relationships/image" Target="../media/image6.png"/><Relationship Id="rId1" Type="http://schemas.openxmlformats.org/officeDocument/2006/relationships/hyperlink" Target="#PENGATURAN!A1"/><Relationship Id="rId4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REKAP RAPORT'!A1"/><Relationship Id="rId1" Type="http://schemas.openxmlformats.org/officeDocument/2006/relationships/hyperlink" Target="#PENGATURAN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REKAP RAPORT'!A1"/><Relationship Id="rId1" Type="http://schemas.openxmlformats.org/officeDocument/2006/relationships/hyperlink" Target="#PENGATURAN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REKAP RAPORT'!A1"/><Relationship Id="rId1" Type="http://schemas.openxmlformats.org/officeDocument/2006/relationships/hyperlink" Target="#PENGATURAN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PENGATURAN!A1"/><Relationship Id="rId2" Type="http://schemas.openxmlformats.org/officeDocument/2006/relationships/hyperlink" Target="#'REKAP RAPORT'!A1"/><Relationship Id="rId1" Type="http://schemas.openxmlformats.org/officeDocument/2006/relationships/hyperlink" Target="#PENGATURAN!A1"/><Relationship Id="rId4" Type="http://schemas.openxmlformats.org/officeDocument/2006/relationships/hyperlink" Target="#'REKAP RAPORT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REKAP RAPORT'!A1"/><Relationship Id="rId1" Type="http://schemas.openxmlformats.org/officeDocument/2006/relationships/hyperlink" Target="#PENGATURAN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REKAP RAPORT'!A1"/><Relationship Id="rId1" Type="http://schemas.openxmlformats.org/officeDocument/2006/relationships/hyperlink" Target="#PENGATURAN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GABUNGAN US RAPOR'!A1"/><Relationship Id="rId1" Type="http://schemas.openxmlformats.org/officeDocument/2006/relationships/hyperlink" Target="#PENGATURA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5444</xdr:rowOff>
    </xdr:from>
    <xdr:to>
      <xdr:col>14</xdr:col>
      <xdr:colOff>0</xdr:colOff>
      <xdr:row>25</xdr:row>
      <xdr:rowOff>231322</xdr:rowOff>
    </xdr:to>
    <xdr:grpSp>
      <xdr:nvGrpSpPr>
        <xdr:cNvPr id="29" name="Group 28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10287000" y="849087"/>
          <a:ext cx="1778000" cy="5369378"/>
          <a:chOff x="8324850" y="590550"/>
          <a:chExt cx="1685925" cy="3505200"/>
        </a:xfrm>
      </xdr:grpSpPr>
      <xdr:sp macro="" textlink="">
        <xdr:nvSpPr>
          <xdr:cNvPr id="2" name="Rectangle 1">
            <a:extLst>
              <a:ext uri="{FF2B5EF4-FFF2-40B4-BE49-F238E27FC236}">
                <a16:creationId xmlns=""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8324850" y="590550"/>
            <a:ext cx="1685925" cy="3505200"/>
          </a:xfrm>
          <a:prstGeom prst="rect">
            <a:avLst/>
          </a:prstGeom>
          <a:gradFill flip="none" rotWithShape="1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path path="circle">
              <a:fillToRect l="50000" t="50000" r="50000" b="50000"/>
            </a:path>
            <a:tileRect/>
          </a:gradFill>
          <a:effectLst>
            <a:outerShdw blurRad="76200" dir="18900000" sy="23000" kx="-1200000" algn="bl" rotWithShape="0">
              <a:prstClr val="black">
                <a:alpha val="2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id-ID" sz="1100"/>
          </a:p>
        </xdr:txBody>
      </xdr:sp>
      <xdr:sp macro="" textlink="">
        <xdr:nvSpPr>
          <xdr:cNvPr id="3" name="Round Diagonal Corner Rectangle 2">
            <a:hlinkClick xmlns:r="http://schemas.openxmlformats.org/officeDocument/2006/relationships" r:id="rId2" tooltip="Semester 7"/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8417985" y="649438"/>
            <a:ext cx="1473730" cy="235835"/>
          </a:xfrm>
          <a:prstGeom prst="round2DiagRect">
            <a:avLst/>
          </a:prstGeom>
          <a:solidFill>
            <a:srgbClr val="001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200"/>
              <a:t>RAPOR</a:t>
            </a:r>
            <a:r>
              <a:rPr lang="en-US" sz="1200" baseline="0"/>
              <a:t> KL 4 SMT 1</a:t>
            </a:r>
            <a:endParaRPr lang="id-ID" sz="1200"/>
          </a:p>
        </xdr:txBody>
      </xdr:sp>
      <xdr:sp macro="" textlink="">
        <xdr:nvSpPr>
          <xdr:cNvPr id="4" name="Round Diagonal Corner Rectangle 3">
            <a:hlinkClick xmlns:r="http://schemas.openxmlformats.org/officeDocument/2006/relationships" r:id="rId3" tooltip="Semester 8"/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8406343" y="998022"/>
            <a:ext cx="1476375" cy="235835"/>
          </a:xfrm>
          <a:prstGeom prst="round2DiagRect">
            <a:avLst/>
          </a:prstGeom>
          <a:solidFill>
            <a:srgbClr val="001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2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RAPOR</a:t>
            </a:r>
            <a:r>
              <a:rPr lang="en-US" sz="12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KL 4 SMT 2</a:t>
            </a:r>
            <a:endParaRPr lang="id-ID" sz="12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ound Diagonal Corner Rectangle 4">
            <a:hlinkClick xmlns:r="http://schemas.openxmlformats.org/officeDocument/2006/relationships" r:id="rId4" tooltip="Semester 9"/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8411635" y="1350486"/>
            <a:ext cx="1476375" cy="235835"/>
          </a:xfrm>
          <a:prstGeom prst="round2DiagRect">
            <a:avLst/>
          </a:prstGeom>
          <a:solidFill>
            <a:srgbClr val="001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2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RAPOR</a:t>
            </a:r>
            <a:r>
              <a:rPr lang="en-US" sz="12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KL 5 SMT 1</a:t>
            </a:r>
            <a:endParaRPr lang="id-ID" sz="12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Round Diagonal Corner Rectangle 5">
            <a:hlinkClick xmlns:r="http://schemas.openxmlformats.org/officeDocument/2006/relationships" r:id="rId5" tooltip="Semester 10"/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8424172" y="1730239"/>
            <a:ext cx="1474258" cy="235835"/>
          </a:xfrm>
          <a:prstGeom prst="round2DiagRect">
            <a:avLst/>
          </a:prstGeom>
          <a:solidFill>
            <a:srgbClr val="001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2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RAPOR</a:t>
            </a:r>
            <a:r>
              <a:rPr lang="en-US" sz="12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KL 5 SMT 2</a:t>
            </a:r>
            <a:endParaRPr lang="id-ID" sz="12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8" name="Round Diagonal Corner Rectangle 7">
            <a:hlinkClick xmlns:r="http://schemas.openxmlformats.org/officeDocument/2006/relationships" r:id="rId6" tooltip="Rekap Rapor"/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8456385" y="3068190"/>
            <a:ext cx="1409699" cy="244571"/>
          </a:xfrm>
          <a:prstGeom prst="round2DiagRect">
            <a:avLst/>
          </a:prstGeom>
          <a:ln>
            <a:solidFill>
              <a:srgbClr val="FFC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400"/>
              <a:t>R</a:t>
            </a:r>
            <a:r>
              <a:rPr lang="id-ID" sz="1400"/>
              <a:t>EKAP</a:t>
            </a:r>
            <a:r>
              <a:rPr lang="id-ID" sz="1400" baseline="0"/>
              <a:t> RAPOR</a:t>
            </a:r>
            <a:r>
              <a:rPr lang="en-US" sz="1400" baseline="0"/>
              <a:t> </a:t>
            </a:r>
            <a:endParaRPr lang="id-ID" sz="1400"/>
          </a:p>
        </xdr:txBody>
      </xdr:sp>
      <xdr:sp macro="" textlink="">
        <xdr:nvSpPr>
          <xdr:cNvPr id="9" name="Round Diagonal Corner Rectangle 8">
            <a:hlinkClick xmlns:r="http://schemas.openxmlformats.org/officeDocument/2006/relationships" r:id="rId7" tooltip="REKAP NILAI GABUNGAN"/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8468648" y="3432055"/>
            <a:ext cx="1409699" cy="244571"/>
          </a:xfrm>
          <a:prstGeom prst="round2DiagRect">
            <a:avLst/>
          </a:prstGeom>
          <a:solidFill>
            <a:srgbClr val="0070C0"/>
          </a:solidFill>
          <a:ln>
            <a:solidFill>
              <a:srgbClr val="FFC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400"/>
              <a:t>NILAI</a:t>
            </a:r>
            <a:r>
              <a:rPr lang="en-US" sz="1400" baseline="0"/>
              <a:t> AKHIR</a:t>
            </a:r>
            <a:endParaRPr lang="id-ID" sz="1400"/>
          </a:p>
        </xdr:txBody>
      </xdr:sp>
      <xdr:sp macro="" textlink="">
        <xdr:nvSpPr>
          <xdr:cNvPr id="11" name="Round Diagonal Corner Rectangle 10">
            <a:hlinkClick xmlns:r="http://schemas.openxmlformats.org/officeDocument/2006/relationships" r:id="rId8" tooltip="Semester 11"/>
            <a:extLst>
              <a:ext uri="{FF2B5EF4-FFF2-40B4-BE49-F238E27FC236}">
                <a16:creationId xmlns=""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8410576" y="2098504"/>
            <a:ext cx="1474258" cy="235835"/>
          </a:xfrm>
          <a:prstGeom prst="round2DiagRect">
            <a:avLst/>
          </a:prstGeom>
          <a:solidFill>
            <a:srgbClr val="001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2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RAPOR</a:t>
            </a:r>
            <a:r>
              <a:rPr lang="en-US" sz="12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KL 6 SMT 1</a:t>
            </a:r>
            <a:endParaRPr lang="id-ID" sz="12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3" name="Round Diagonal Corner Rectangle 12">
            <a:hlinkClick xmlns:r="http://schemas.openxmlformats.org/officeDocument/2006/relationships" r:id="rId9" tooltip="UJIAN SEKOLAH DAERAH"/>
            <a:extLst>
              <a:ext uri="{FF2B5EF4-FFF2-40B4-BE49-F238E27FC236}">
                <a16:creationId xmlns=""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8420023" y="2470535"/>
            <a:ext cx="1474173" cy="244571"/>
          </a:xfrm>
          <a:prstGeom prst="round2DiagRect">
            <a:avLst/>
          </a:prstGeom>
          <a:solidFill>
            <a:schemeClr val="tx1"/>
          </a:solidFill>
          <a:ln>
            <a:solidFill>
              <a:schemeClr val="tx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id-ID" sz="1400"/>
              <a:t>NILAI</a:t>
            </a:r>
            <a:r>
              <a:rPr lang="id-ID" sz="1400" baseline="0"/>
              <a:t> US</a:t>
            </a:r>
            <a:r>
              <a:rPr lang="en-US" sz="1400" baseline="0"/>
              <a:t> D</a:t>
            </a:r>
            <a:endParaRPr lang="id-ID" sz="1400"/>
          </a:p>
        </xdr:txBody>
      </xdr:sp>
    </xdr:grpSp>
    <xdr:clientData/>
  </xdr:twoCellAnchor>
  <xdr:twoCellAnchor>
    <xdr:from>
      <xdr:col>17</xdr:col>
      <xdr:colOff>190500</xdr:colOff>
      <xdr:row>3</xdr:row>
      <xdr:rowOff>14515</xdr:rowOff>
    </xdr:from>
    <xdr:to>
      <xdr:col>17</xdr:col>
      <xdr:colOff>2803071</xdr:colOff>
      <xdr:row>28</xdr:row>
      <xdr:rowOff>1</xdr:rowOff>
    </xdr:to>
    <xdr:sp macro="" textlink="">
      <xdr:nvSpPr>
        <xdr:cNvPr id="15" name="Rectangle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>
        <a:xfrm>
          <a:off x="14351000" y="676729"/>
          <a:ext cx="2612571" cy="5736772"/>
        </a:xfrm>
        <a:prstGeom prst="rect">
          <a:avLst/>
        </a:prstGeom>
        <a:gradFill flip="none" rotWithShape="1"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  <a:tileRect/>
        </a:gradFill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ctr"/>
          <a:r>
            <a:rPr lang="en-US" sz="2400" b="1" u="sng">
              <a:solidFill>
                <a:srgbClr val="FFFF00"/>
              </a:solidFill>
            </a:rPr>
            <a:t>INFO</a:t>
          </a:r>
          <a:endParaRPr lang="id-ID" sz="2400" b="1" u="sng">
            <a:solidFill>
              <a:srgbClr val="FFFF00"/>
            </a:solidFill>
          </a:endParaRPr>
        </a:p>
        <a:p>
          <a:pPr algn="l"/>
          <a:endParaRPr lang="id-ID" sz="1400" b="1" i="0" u="none" strike="noStrike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l"/>
          <a:r>
            <a:rPr lang="id-ID" sz="14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PENTING</a:t>
          </a:r>
          <a:r>
            <a:rPr lang="id-ID" sz="14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 !</a:t>
          </a:r>
        </a:p>
        <a:p>
          <a:pPr algn="l"/>
          <a:r>
            <a:rPr lang="id-ID" sz="1400" b="1" i="0" u="none" strike="noStrike" baseline="0">
              <a:solidFill>
                <a:schemeClr val="lt1"/>
              </a:solidFill>
              <a:latin typeface="+mn-lt"/>
              <a:ea typeface="+mn-ea"/>
              <a:cs typeface="+mn-cs"/>
            </a:rPr>
            <a:t>Input Nilai Rapor dan US wajib menggunakan rentang nilai 0-100.</a:t>
          </a:r>
          <a:endParaRPr lang="en-US" sz="1400" b="1" i="0" u="none" strike="noStrike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l"/>
          <a:endParaRPr lang="en-US" sz="1400" b="1" i="0" u="none" strike="noStrike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fontAlgn="base"/>
          <a:r>
            <a:rPr lang="en-US" sz="1400" b="1" i="0" baseline="0">
              <a:solidFill>
                <a:schemeClr val="lt1"/>
              </a:solidFill>
              <a:latin typeface="+mn-lt"/>
              <a:ea typeface="+mn-ea"/>
              <a:cs typeface="+mn-cs"/>
            </a:rPr>
            <a:t>Nilai US merupakan Rata2 Nilai Rapor, Praktik, dan US D</a:t>
          </a:r>
        </a:p>
        <a:p>
          <a:pPr fontAlgn="base"/>
          <a:endParaRPr lang="en-US" sz="1400" b="1" i="0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fontAlgn="base"/>
          <a:endParaRPr lang="en-US" sz="1400" b="1" i="0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fontAlgn="base"/>
          <a:r>
            <a:rPr lang="en-US" sz="1400" b="1" i="0" baseline="0">
              <a:solidFill>
                <a:schemeClr val="lt1"/>
              </a:solidFill>
              <a:latin typeface="+mn-lt"/>
              <a:ea typeface="+mn-ea"/>
              <a:cs typeface="+mn-cs"/>
            </a:rPr>
            <a:t>Tidak boleh merubah urutan data yang dikirim ke Dinas P dan K, karena data tersebut merupakan database PPDB Online, jika tidak akan berakibat pada error sistem PPDB.</a:t>
          </a:r>
          <a:endParaRPr lang="id-ID" sz="1400" b="0" i="0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l"/>
          <a:endParaRPr lang="en-US" sz="1100" b="1" i="0" u="none" strike="noStrike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l"/>
          <a:r>
            <a:rPr lang="en-US" sz="1800" b="1" i="1" u="none" strike="noStrike" baseline="0">
              <a:solidFill>
                <a:srgbClr val="FFFF00"/>
              </a:solidFill>
              <a:latin typeface="+mn-lt"/>
              <a:ea typeface="+mn-ea"/>
              <a:cs typeface="+mn-cs"/>
            </a:rPr>
            <a:t> </a:t>
          </a:r>
        </a:p>
        <a:p>
          <a:pPr algn="l"/>
          <a:endParaRPr lang="en-US" sz="1200" b="1" i="1" u="none" strike="noStrike" baseline="0">
            <a:solidFill>
              <a:srgbClr val="FFFF00"/>
            </a:solidFill>
            <a:latin typeface="+mn-lt"/>
            <a:ea typeface="+mn-ea"/>
            <a:cs typeface="+mn-cs"/>
          </a:endParaRPr>
        </a:p>
        <a:p>
          <a:pPr algn="l"/>
          <a:endParaRPr lang="id-ID" sz="1100" b="0" i="0" u="none" strike="noStrike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l"/>
          <a:endParaRPr lang="id-ID" sz="1100"/>
        </a:p>
      </xdr:txBody>
    </xdr:sp>
    <xdr:clientData/>
  </xdr:twoCellAnchor>
  <xdr:twoCellAnchor>
    <xdr:from>
      <xdr:col>8</xdr:col>
      <xdr:colOff>31974</xdr:colOff>
      <xdr:row>21</xdr:row>
      <xdr:rowOff>74438</xdr:rowOff>
    </xdr:from>
    <xdr:to>
      <xdr:col>11</xdr:col>
      <xdr:colOff>27214</xdr:colOff>
      <xdr:row>26</xdr:row>
      <xdr:rowOff>0</xdr:rowOff>
    </xdr:to>
    <xdr:sp macro="" textlink="">
      <xdr:nvSpPr>
        <xdr:cNvPr id="30" name="Rectangle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/>
      </xdr:nvSpPr>
      <xdr:spPr>
        <a:xfrm>
          <a:off x="6427331" y="5122688"/>
          <a:ext cx="3152097" cy="1150205"/>
        </a:xfrm>
        <a:prstGeom prst="rect">
          <a:avLst/>
        </a:prstGeom>
        <a:gradFill flip="none" rotWithShape="1"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  <a:tileRect/>
        </a:gradFill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endParaRPr lang="id-ID" sz="1100" b="0" i="0" u="none" strike="noStrike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l"/>
          <a:endParaRPr lang="id-ID" sz="1100"/>
        </a:p>
      </xdr:txBody>
    </xdr:sp>
    <xdr:clientData/>
  </xdr:twoCellAnchor>
  <xdr:twoCellAnchor>
    <xdr:from>
      <xdr:col>8</xdr:col>
      <xdr:colOff>326572</xdr:colOff>
      <xdr:row>21</xdr:row>
      <xdr:rowOff>221919</xdr:rowOff>
    </xdr:from>
    <xdr:to>
      <xdr:col>10</xdr:col>
      <xdr:colOff>258535</xdr:colOff>
      <xdr:row>25</xdr:row>
      <xdr:rowOff>110556</xdr:rowOff>
    </xdr:to>
    <xdr:sp macro="" textlink="">
      <xdr:nvSpPr>
        <xdr:cNvPr id="45" name="Rounded Rectangle 44">
          <a:hlinkClick xmlns:r="http://schemas.openxmlformats.org/officeDocument/2006/relationships" r:id="rId10" tooltip="DATA SISWA"/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/>
      </xdr:nvSpPr>
      <xdr:spPr>
        <a:xfrm>
          <a:off x="6721929" y="5270169"/>
          <a:ext cx="2544535" cy="868351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d-ID" sz="2000" b="1">
              <a:solidFill>
                <a:srgbClr val="FF0000"/>
              </a:solidFill>
            </a:rPr>
            <a:t>DATA SISWA</a:t>
          </a:r>
        </a:p>
      </xdr:txBody>
    </xdr:sp>
    <xdr:clientData/>
  </xdr:twoCellAnchor>
  <xdr:twoCellAnchor>
    <xdr:from>
      <xdr:col>2</xdr:col>
      <xdr:colOff>93549</xdr:colOff>
      <xdr:row>2</xdr:row>
      <xdr:rowOff>81643</xdr:rowOff>
    </xdr:from>
    <xdr:to>
      <xdr:col>17</xdr:col>
      <xdr:colOff>2775857</xdr:colOff>
      <xdr:row>2</xdr:row>
      <xdr:rowOff>95252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CxnSpPr/>
      </xdr:nvCxnSpPr>
      <xdr:spPr>
        <a:xfrm flipV="1">
          <a:off x="297656" y="381000"/>
          <a:ext cx="15690737" cy="13609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28</xdr:row>
      <xdr:rowOff>136072</xdr:rowOff>
    </xdr:from>
    <xdr:to>
      <xdr:col>2</xdr:col>
      <xdr:colOff>467439</xdr:colOff>
      <xdr:row>28</xdr:row>
      <xdr:rowOff>530678</xdr:rowOff>
    </xdr:to>
    <xdr:pic>
      <xdr:nvPicPr>
        <xdr:cNvPr id="38" name="Picture 37" descr="pngfind.com-instagram-symbol-png-102915.png">
          <a:hlinkClick xmlns:r="http://schemas.openxmlformats.org/officeDocument/2006/relationships" r:id="rId11" tooltip="085229842024"/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816429" y="6599465"/>
          <a:ext cx="467439" cy="394606"/>
        </a:xfrm>
        <a:prstGeom prst="rect">
          <a:avLst/>
        </a:prstGeom>
      </xdr:spPr>
    </xdr:pic>
    <xdr:clientData/>
  </xdr:twoCellAnchor>
  <xdr:twoCellAnchor>
    <xdr:from>
      <xdr:col>17</xdr:col>
      <xdr:colOff>299358</xdr:colOff>
      <xdr:row>19</xdr:row>
      <xdr:rowOff>163288</xdr:rowOff>
    </xdr:from>
    <xdr:to>
      <xdr:col>17</xdr:col>
      <xdr:colOff>2571749</xdr:colOff>
      <xdr:row>23</xdr:row>
      <xdr:rowOff>81644</xdr:rowOff>
    </xdr:to>
    <xdr:sp macro="" textlink="">
      <xdr:nvSpPr>
        <xdr:cNvPr id="46" name="Round Diagonal Corner Rectangle 45">
          <a:hlinkClick xmlns:r="http://schemas.openxmlformats.org/officeDocument/2006/relationships" r:id="rId13" tooltip="Log Aplikasi"/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/>
      </xdr:nvSpPr>
      <xdr:spPr>
        <a:xfrm>
          <a:off x="14459858" y="4680859"/>
          <a:ext cx="2272391" cy="898071"/>
        </a:xfrm>
        <a:prstGeom prst="round2Diag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 b="1">
              <a:solidFill>
                <a:srgbClr val="FF0000"/>
              </a:solidFill>
            </a:rPr>
            <a:t>BACA DULU</a:t>
          </a:r>
          <a:r>
            <a:rPr lang="en-US" sz="1600" b="1" baseline="0">
              <a:solidFill>
                <a:srgbClr val="FF0000"/>
              </a:solidFill>
            </a:rPr>
            <a:t> APLIKASI INI SEBELUM MENGGUNAKAN (KLIK}</a:t>
          </a:r>
          <a:endParaRPr lang="id-ID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18143</xdr:colOff>
      <xdr:row>4</xdr:row>
      <xdr:rowOff>9260</xdr:rowOff>
    </xdr:from>
    <xdr:to>
      <xdr:col>16</xdr:col>
      <xdr:colOff>487588</xdr:colOff>
      <xdr:row>25</xdr:row>
      <xdr:rowOff>231322</xdr:rowOff>
    </xdr:to>
    <xdr:grpSp>
      <xdr:nvGrpSpPr>
        <xdr:cNvPr id="33" name="Group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GrpSpPr/>
      </xdr:nvGrpSpPr>
      <xdr:grpSpPr>
        <a:xfrm>
          <a:off x="12291786" y="852903"/>
          <a:ext cx="1866445" cy="5365562"/>
          <a:chOff x="8316653" y="607648"/>
          <a:chExt cx="1685925" cy="3505200"/>
        </a:xfrm>
      </xdr:grpSpPr>
      <xdr:sp macro="" textlink="">
        <xdr:nvSpPr>
          <xdr:cNvPr id="34" name="Rectangle 33">
            <a:extLst>
              <a:ext uri="{FF2B5EF4-FFF2-40B4-BE49-F238E27FC236}">
                <a16:creationId xmlns=""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8316653" y="607648"/>
            <a:ext cx="1685925" cy="3505200"/>
          </a:xfrm>
          <a:prstGeom prst="rect">
            <a:avLst/>
          </a:prstGeom>
          <a:gradFill flip="none" rotWithShape="1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path path="circle">
              <a:fillToRect l="50000" t="50000" r="50000" b="50000"/>
            </a:path>
            <a:tileRect/>
          </a:gradFill>
          <a:effectLst>
            <a:outerShdw blurRad="76200" dir="18900000" sy="23000" kx="-1200000" algn="bl" rotWithShape="0">
              <a:prstClr val="black">
                <a:alpha val="2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id-ID" sz="1100"/>
          </a:p>
        </xdr:txBody>
      </xdr:sp>
      <xdr:sp macro="" textlink="">
        <xdr:nvSpPr>
          <xdr:cNvPr id="47" name="Round Diagonal Corner Rectangle 46">
            <a:hlinkClick xmlns:r="http://schemas.openxmlformats.org/officeDocument/2006/relationships" r:id="rId14" tooltip="Kirim Nilai PPDB"/>
            <a:extLst>
              <a:ext uri="{FF2B5EF4-FFF2-40B4-BE49-F238E27FC236}">
                <a16:creationId xmlns="" xmlns:a16="http://schemas.microsoft.com/office/drawing/2014/main" id="{00000000-0008-0000-0000-00002F000000}"/>
              </a:ext>
            </a:extLst>
          </xdr:cNvPr>
          <xdr:cNvSpPr/>
        </xdr:nvSpPr>
        <xdr:spPr>
          <a:xfrm>
            <a:off x="8398148" y="677311"/>
            <a:ext cx="1476376" cy="235835"/>
          </a:xfrm>
          <a:prstGeom prst="round2DiagRect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4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KIRIM WONOGIRI </a:t>
            </a:r>
            <a:endParaRPr lang="id-ID" sz="14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0" name="Round Diagonal Corner Rectangle 49">
            <a:hlinkClick xmlns:r="http://schemas.openxmlformats.org/officeDocument/2006/relationships" r:id="rId15" tooltip="SK RAPOR 2013"/>
            <a:extLst>
              <a:ext uri="{FF2B5EF4-FFF2-40B4-BE49-F238E27FC236}">
                <a16:creationId xmlns="" xmlns:a16="http://schemas.microsoft.com/office/drawing/2014/main" id="{00000000-0008-0000-0000-000032000000}"/>
              </a:ext>
            </a:extLst>
          </xdr:cNvPr>
          <xdr:cNvSpPr/>
        </xdr:nvSpPr>
        <xdr:spPr>
          <a:xfrm>
            <a:off x="8410576" y="1021316"/>
            <a:ext cx="1474258" cy="211823"/>
          </a:xfrm>
          <a:prstGeom prst="round2DiagRect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4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SK</a:t>
            </a:r>
            <a:r>
              <a:rPr lang="en-US" sz="14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RAPOR</a:t>
            </a:r>
            <a:endParaRPr lang="id-ID" sz="14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1" name="Round Diagonal Corner Rectangle 50">
            <a:hlinkClick xmlns:r="http://schemas.openxmlformats.org/officeDocument/2006/relationships" r:id="rId16" tooltip="LAP KILAT "/>
            <a:extLst>
              <a:ext uri="{FF2B5EF4-FFF2-40B4-BE49-F238E27FC236}">
                <a16:creationId xmlns=""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8428202" y="2492032"/>
            <a:ext cx="1455795" cy="226091"/>
          </a:xfrm>
          <a:prstGeom prst="round2DiagRect">
            <a:avLst/>
          </a:prstGeom>
          <a:ln>
            <a:solidFill>
              <a:srgbClr val="FFC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id-ID" sz="14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L</a:t>
            </a:r>
            <a:r>
              <a:rPr lang="en-US" sz="14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AP</a:t>
            </a:r>
            <a:r>
              <a:rPr lang="id-ID" sz="14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KILAT</a:t>
            </a:r>
            <a:r>
              <a:rPr lang="id-ID" sz="14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</a:t>
            </a:r>
            <a:endParaRPr lang="id-ID" sz="14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2" name="Round Diagonal Corner Rectangle 51">
            <a:hlinkClick xmlns:r="http://schemas.openxmlformats.org/officeDocument/2006/relationships" r:id="rId17" tooltip="RENTANG NILAI"/>
            <a:extLst>
              <a:ext uri="{FF2B5EF4-FFF2-40B4-BE49-F238E27FC236}">
                <a16:creationId xmlns=""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8428202" y="3456623"/>
            <a:ext cx="1471669" cy="244571"/>
          </a:xfrm>
          <a:prstGeom prst="round2DiagRect">
            <a:avLst/>
          </a:prstGeom>
          <a:solidFill>
            <a:srgbClr val="0070C0"/>
          </a:solidFill>
          <a:ln>
            <a:solidFill>
              <a:srgbClr val="FFC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id-ID" sz="14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RENTANG</a:t>
            </a:r>
            <a:r>
              <a:rPr lang="id-ID" sz="14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</a:t>
            </a:r>
            <a:r>
              <a:rPr lang="en-US" sz="14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NILAI</a:t>
            </a:r>
            <a:endParaRPr lang="id-ID" sz="14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3" name="Round Diagonal Corner Rectangle 52">
            <a:hlinkClick xmlns:r="http://schemas.openxmlformats.org/officeDocument/2006/relationships" r:id="rId18" tooltip="IJAZAH DEPAN"/>
            <a:extLst>
              <a:ext uri="{FF2B5EF4-FFF2-40B4-BE49-F238E27FC236}">
                <a16:creationId xmlns="" xmlns:a16="http://schemas.microsoft.com/office/drawing/2014/main" id="{00000000-0008-0000-0000-000035000000}"/>
              </a:ext>
            </a:extLst>
          </xdr:cNvPr>
          <xdr:cNvSpPr/>
        </xdr:nvSpPr>
        <xdr:spPr>
          <a:xfrm>
            <a:off x="8410576" y="1762613"/>
            <a:ext cx="1474258" cy="212097"/>
          </a:xfrm>
          <a:prstGeom prst="round2DiagRect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id-ID" sz="14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IJAZAH</a:t>
            </a:r>
            <a:r>
              <a:rPr lang="en-US" sz="14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DEPAN</a:t>
            </a:r>
            <a:endParaRPr lang="id-ID" sz="14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4" name="Round Diagonal Corner Rectangle 53">
            <a:hlinkClick xmlns:r="http://schemas.openxmlformats.org/officeDocument/2006/relationships" r:id="rId19" tooltip="AKHLAK MULIA"/>
            <a:extLst>
              <a:ext uri="{FF2B5EF4-FFF2-40B4-BE49-F238E27FC236}">
                <a16:creationId xmlns=""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8428203" y="2776500"/>
            <a:ext cx="1465320" cy="244571"/>
          </a:xfrm>
          <a:prstGeom prst="round2DiagRect">
            <a:avLst/>
          </a:prstGeom>
          <a:ln>
            <a:solidFill>
              <a:srgbClr val="FFC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id-ID" sz="14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AKHLAK MULIA</a:t>
            </a:r>
            <a:endParaRPr lang="en-US" sz="1400"/>
          </a:p>
        </xdr:txBody>
      </xdr:sp>
      <xdr:sp macro="" textlink="">
        <xdr:nvSpPr>
          <xdr:cNvPr id="55" name="Round Diagonal Corner Rectangle 54">
            <a:hlinkClick xmlns:r="http://schemas.openxmlformats.org/officeDocument/2006/relationships" r:id="rId20" tooltip="NILAI  TRD TTG "/>
            <a:extLst>
              <a:ext uri="{FF2B5EF4-FFF2-40B4-BE49-F238E27FC236}">
                <a16:creationId xmlns=""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8441120" y="3103949"/>
            <a:ext cx="1465320" cy="244571"/>
          </a:xfrm>
          <a:prstGeom prst="round2DiagRect">
            <a:avLst/>
          </a:prstGeom>
          <a:ln>
            <a:solidFill>
              <a:srgbClr val="FFC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id-ID" sz="14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N</a:t>
            </a:r>
            <a:r>
              <a:rPr lang="en-US" sz="14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ILAI </a:t>
            </a:r>
            <a:r>
              <a:rPr lang="id-ID" sz="14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TRD TTG</a:t>
            </a:r>
            <a:r>
              <a:rPr lang="id-ID" sz="14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</a:t>
            </a:r>
            <a:endParaRPr lang="id-ID" sz="14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15</xdr:col>
      <xdr:colOff>129720</xdr:colOff>
      <xdr:row>13</xdr:row>
      <xdr:rowOff>122465</xdr:rowOff>
    </xdr:from>
    <xdr:to>
      <xdr:col>16</xdr:col>
      <xdr:colOff>349009</xdr:colOff>
      <xdr:row>14</xdr:row>
      <xdr:rowOff>230936</xdr:rowOff>
    </xdr:to>
    <xdr:sp macro="" textlink="">
      <xdr:nvSpPr>
        <xdr:cNvPr id="57" name="Round Diagonal Corner Rectangle 56">
          <a:hlinkClick xmlns:r="http://schemas.openxmlformats.org/officeDocument/2006/relationships" r:id="rId21" tooltip="IJAZAH KK 2013"/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/>
      </xdr:nvSpPr>
      <xdr:spPr>
        <a:xfrm>
          <a:off x="12403363" y="3170465"/>
          <a:ext cx="1616289" cy="353400"/>
        </a:xfrm>
        <a:prstGeom prst="round2Diag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1600">
              <a:solidFill>
                <a:schemeClr val="lt1"/>
              </a:solidFill>
              <a:latin typeface="+mn-lt"/>
              <a:ea typeface="+mn-ea"/>
              <a:cs typeface="+mn-cs"/>
            </a:rPr>
            <a:t>IJAZAH</a:t>
          </a:r>
          <a:r>
            <a:rPr lang="en-US" sz="1600">
              <a:solidFill>
                <a:schemeClr val="lt1"/>
              </a:solidFill>
              <a:latin typeface="+mn-lt"/>
              <a:ea typeface="+mn-ea"/>
              <a:cs typeface="+mn-cs"/>
            </a:rPr>
            <a:t> NILAI</a:t>
          </a:r>
          <a:endParaRPr lang="id-ID" sz="16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18368</xdr:colOff>
      <xdr:row>18</xdr:row>
      <xdr:rowOff>142474</xdr:rowOff>
    </xdr:from>
    <xdr:to>
      <xdr:col>7</xdr:col>
      <xdr:colOff>1</xdr:colOff>
      <xdr:row>25</xdr:row>
      <xdr:rowOff>231322</xdr:rowOff>
    </xdr:to>
    <xdr:sp macro="" textlink="">
      <xdr:nvSpPr>
        <xdr:cNvPr id="36" name="Rectangle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/>
      </xdr:nvSpPr>
      <xdr:spPr>
        <a:xfrm>
          <a:off x="4318225" y="4455938"/>
          <a:ext cx="1968276" cy="1803348"/>
        </a:xfrm>
        <a:prstGeom prst="rect">
          <a:avLst/>
        </a:prstGeom>
        <a:gradFill flip="none" rotWithShape="1"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5400000" scaled="0"/>
          <a:tileRect/>
        </a:gradFill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ctr"/>
          <a:endParaRPr lang="en-US" sz="1800" b="0" i="0" u="none" strike="noStrike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800" b="0" i="0" u="none" strike="noStrike" baseline="0">
              <a:solidFill>
                <a:schemeClr val="lt1"/>
              </a:solidFill>
              <a:latin typeface="+mn-lt"/>
              <a:ea typeface="+mn-ea"/>
              <a:cs typeface="+mn-cs"/>
            </a:rPr>
            <a:t>CEK DULU SEBELUM CETAK DAN SESUAI KURIKULUM ANDA</a:t>
          </a:r>
          <a:endParaRPr lang="id-ID" sz="1800" b="0" i="0" u="none" strike="noStrike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l"/>
          <a:endParaRPr lang="id-ID" sz="1100"/>
        </a:p>
      </xdr:txBody>
    </xdr:sp>
    <xdr:clientData/>
  </xdr:twoCellAnchor>
  <xdr:twoCellAnchor>
    <xdr:from>
      <xdr:col>17</xdr:col>
      <xdr:colOff>303892</xdr:colOff>
      <xdr:row>23</xdr:row>
      <xdr:rowOff>226785</xdr:rowOff>
    </xdr:from>
    <xdr:to>
      <xdr:col>17</xdr:col>
      <xdr:colOff>2494642</xdr:colOff>
      <xdr:row>25</xdr:row>
      <xdr:rowOff>185962</xdr:rowOff>
    </xdr:to>
    <xdr:sp macro="" textlink="">
      <xdr:nvSpPr>
        <xdr:cNvPr id="37" name="Round Diagonal Corner Rectangle 36">
          <a:hlinkClick xmlns:r="http://schemas.openxmlformats.org/officeDocument/2006/relationships" r:id="rId22" tooltip="Log Aplikasi"/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/>
      </xdr:nvSpPr>
      <xdr:spPr>
        <a:xfrm>
          <a:off x="14464392" y="5724071"/>
          <a:ext cx="2190750" cy="449034"/>
        </a:xfrm>
        <a:prstGeom prst="round2Diag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 b="1">
              <a:solidFill>
                <a:srgbClr val="FF0000"/>
              </a:solidFill>
            </a:rPr>
            <a:t>Apa</a:t>
          </a:r>
          <a:r>
            <a:rPr lang="en-US" sz="1600" b="1" baseline="0">
              <a:solidFill>
                <a:srgbClr val="FF0000"/>
              </a:solidFill>
            </a:rPr>
            <a:t> yg baru ?</a:t>
          </a:r>
          <a:endParaRPr lang="id-ID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99782</xdr:colOff>
      <xdr:row>8</xdr:row>
      <xdr:rowOff>172538</xdr:rowOff>
    </xdr:from>
    <xdr:to>
      <xdr:col>16</xdr:col>
      <xdr:colOff>334896</xdr:colOff>
      <xdr:row>10</xdr:row>
      <xdr:rowOff>6928</xdr:rowOff>
    </xdr:to>
    <xdr:sp macro="" textlink="">
      <xdr:nvSpPr>
        <xdr:cNvPr id="31" name="Round Diagonal Corner Rectangle 49">
          <a:hlinkClick xmlns:r="http://schemas.openxmlformats.org/officeDocument/2006/relationships" r:id="rId23" tooltip="SK LULUS"/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/>
      </xdr:nvSpPr>
      <xdr:spPr>
        <a:xfrm>
          <a:off x="12373425" y="1995895"/>
          <a:ext cx="1632114" cy="324247"/>
        </a:xfrm>
        <a:prstGeom prst="round2Diag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400">
              <a:solidFill>
                <a:schemeClr val="lt1"/>
              </a:solidFill>
              <a:latin typeface="+mn-lt"/>
              <a:ea typeface="+mn-ea"/>
              <a:cs typeface="+mn-cs"/>
            </a:rPr>
            <a:t>SK</a:t>
          </a:r>
          <a:r>
            <a:rPr lang="en-US" sz="1400" baseline="0">
              <a:solidFill>
                <a:schemeClr val="lt1"/>
              </a:solidFill>
              <a:latin typeface="+mn-lt"/>
              <a:ea typeface="+mn-ea"/>
              <a:cs typeface="+mn-cs"/>
            </a:rPr>
            <a:t> LULUS</a:t>
          </a:r>
          <a:endParaRPr lang="id-ID" sz="14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9525</xdr:rowOff>
    </xdr:from>
    <xdr:to>
      <xdr:col>2</xdr:col>
      <xdr:colOff>323851</xdr:colOff>
      <xdr:row>5</xdr:row>
      <xdr:rowOff>0</xdr:rowOff>
    </xdr:to>
    <xdr:sp macro="" textlink="">
      <xdr:nvSpPr>
        <xdr:cNvPr id="2" name="Rectangle 1">
          <a:hlinkClick xmlns:r="http://schemas.openxmlformats.org/officeDocument/2006/relationships" r:id="rId1" tooltip="Home/Pengaturan"/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/>
      </xdr:nvSpPr>
      <xdr:spPr>
        <a:xfrm>
          <a:off x="285750" y="457200"/>
          <a:ext cx="638176" cy="561975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</a:rPr>
            <a:t>H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  <xdr:twoCellAnchor>
    <xdr:from>
      <xdr:col>11</xdr:col>
      <xdr:colOff>142371</xdr:colOff>
      <xdr:row>1</xdr:row>
      <xdr:rowOff>119839</xdr:rowOff>
    </xdr:from>
    <xdr:to>
      <xdr:col>13</xdr:col>
      <xdr:colOff>22478</xdr:colOff>
      <xdr:row>4</xdr:row>
      <xdr:rowOff>93734</xdr:rowOff>
    </xdr:to>
    <xdr:sp macro="" textlink="">
      <xdr:nvSpPr>
        <xdr:cNvPr id="3" name="Rectangle 2">
          <a:hlinkClick xmlns:r="http://schemas.openxmlformats.org/officeDocument/2006/relationships" r:id="rId2" tooltip="Rekap Nilai Rapor"/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/>
      </xdr:nvSpPr>
      <xdr:spPr>
        <a:xfrm>
          <a:off x="9935482" y="373839"/>
          <a:ext cx="1065440" cy="538339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  <a:sym typeface="Wingdings"/>
            </a:rPr>
            <a:t>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  <xdr:twoCellAnchor>
    <xdr:from>
      <xdr:col>13</xdr:col>
      <xdr:colOff>1</xdr:colOff>
      <xdr:row>7</xdr:row>
      <xdr:rowOff>88646</xdr:rowOff>
    </xdr:from>
    <xdr:to>
      <xdr:col>16</xdr:col>
      <xdr:colOff>1093611</xdr:colOff>
      <xdr:row>12</xdr:row>
      <xdr:rowOff>127000</xdr:rowOff>
    </xdr:to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11084279" y="1457424"/>
          <a:ext cx="2793999" cy="9555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1000"/>
            <a:t>PADA FORM</a:t>
          </a:r>
          <a:r>
            <a:rPr lang="en-US" sz="1000" baseline="0"/>
            <a:t> DATABASE SISWA  DARI DINAS P DAN K TIDAK URUT MAKA SILAKAN COPY PASTE BARIS DEMI BARIS SISWA DARI APLIKASI INI. (</a:t>
          </a:r>
          <a:r>
            <a:rPr lang="en-US" sz="1000" b="1" baseline="0">
              <a:solidFill>
                <a:srgbClr val="FF0000"/>
              </a:solidFill>
            </a:rPr>
            <a:t>TIDAK BOLEH MENGUBAH URUTAN DATA DARI DINAS P DAN K WONOGIRI</a:t>
          </a:r>
          <a:r>
            <a:rPr lang="en-US" sz="1000" baseline="0"/>
            <a:t>)</a:t>
          </a:r>
          <a:endParaRPr lang="en-US" sz="1000"/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</xdr:row>
      <xdr:rowOff>0</xdr:rowOff>
    </xdr:from>
    <xdr:to>
      <xdr:col>28</xdr:col>
      <xdr:colOff>460471</xdr:colOff>
      <xdr:row>4</xdr:row>
      <xdr:rowOff>145881</xdr:rowOff>
    </xdr:to>
    <xdr:sp macro="" textlink="">
      <xdr:nvSpPr>
        <xdr:cNvPr id="3" name="Rectangle 2">
          <a:hlinkClick xmlns:r="http://schemas.openxmlformats.org/officeDocument/2006/relationships" r:id="rId1" tooltip="Home/Pengaturan"/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SpPr/>
      </xdr:nvSpPr>
      <xdr:spPr>
        <a:xfrm>
          <a:off x="9093200" y="971550"/>
          <a:ext cx="460471" cy="736431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</a:rPr>
            <a:t>H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  <xdr:twoCellAnchor editAs="oneCell">
    <xdr:from>
      <xdr:col>4</xdr:col>
      <xdr:colOff>431446</xdr:colOff>
      <xdr:row>2</xdr:row>
      <xdr:rowOff>42863</xdr:rowOff>
    </xdr:from>
    <xdr:to>
      <xdr:col>6</xdr:col>
      <xdr:colOff>34923</xdr:colOff>
      <xdr:row>6</xdr:row>
      <xdr:rowOff>100012</xdr:rowOff>
    </xdr:to>
    <xdr:pic>
      <xdr:nvPicPr>
        <xdr:cNvPr id="4" name="Picture 3" descr="LOGO WNG.png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85571" y="360363"/>
          <a:ext cx="762352" cy="8508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9525</xdr:rowOff>
    </xdr:from>
    <xdr:to>
      <xdr:col>2</xdr:col>
      <xdr:colOff>323851</xdr:colOff>
      <xdr:row>5</xdr:row>
      <xdr:rowOff>0</xdr:rowOff>
    </xdr:to>
    <xdr:sp macro="" textlink="">
      <xdr:nvSpPr>
        <xdr:cNvPr id="2" name="Rectangle 1">
          <a:hlinkClick xmlns:r="http://schemas.openxmlformats.org/officeDocument/2006/relationships" r:id="rId1" tooltip="Home/Pengaturan"/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SpPr/>
      </xdr:nvSpPr>
      <xdr:spPr>
        <a:xfrm>
          <a:off x="285750" y="457200"/>
          <a:ext cx="638176" cy="561975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</a:rPr>
            <a:t>H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  <xdr:twoCellAnchor>
    <xdr:from>
      <xdr:col>50</xdr:col>
      <xdr:colOff>428626</xdr:colOff>
      <xdr:row>2</xdr:row>
      <xdr:rowOff>19050</xdr:rowOff>
    </xdr:from>
    <xdr:to>
      <xdr:col>51</xdr:col>
      <xdr:colOff>514351</xdr:colOff>
      <xdr:row>5</xdr:row>
      <xdr:rowOff>0</xdr:rowOff>
    </xdr:to>
    <xdr:sp macro="" textlink="">
      <xdr:nvSpPr>
        <xdr:cNvPr id="3" name="Rectangle 2">
          <a:hlinkClick xmlns:r="http://schemas.openxmlformats.org/officeDocument/2006/relationships" r:id="rId2" tooltip="Rekap Nilai Rapor"/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SpPr/>
      </xdr:nvSpPr>
      <xdr:spPr>
        <a:xfrm>
          <a:off x="10963276" y="466725"/>
          <a:ext cx="647700" cy="552450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  <a:sym typeface="Wingdings"/>
            </a:rPr>
            <a:t>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  <xdr:twoCellAnchor>
    <xdr:from>
      <xdr:col>17</xdr:col>
      <xdr:colOff>0</xdr:colOff>
      <xdr:row>78</xdr:row>
      <xdr:rowOff>0</xdr:rowOff>
    </xdr:from>
    <xdr:to>
      <xdr:col>19</xdr:col>
      <xdr:colOff>95252</xdr:colOff>
      <xdr:row>80</xdr:row>
      <xdr:rowOff>180975</xdr:rowOff>
    </xdr:to>
    <xdr:sp macro="" textlink="">
      <xdr:nvSpPr>
        <xdr:cNvPr id="6" name="Rectangle 5">
          <a:hlinkClick xmlns:r="http://schemas.openxmlformats.org/officeDocument/2006/relationships" r:id="rId3" tooltip="Naik"/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SpPr/>
      </xdr:nvSpPr>
      <xdr:spPr>
        <a:xfrm>
          <a:off x="7451912" y="14937441"/>
          <a:ext cx="554693" cy="561975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  <a:sym typeface="Webdings"/>
            </a:rPr>
            <a:t>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  <xdr:twoCellAnchor>
    <xdr:from>
      <xdr:col>35</xdr:col>
      <xdr:colOff>0</xdr:colOff>
      <xdr:row>2</xdr:row>
      <xdr:rowOff>0</xdr:rowOff>
    </xdr:from>
    <xdr:to>
      <xdr:col>40</xdr:col>
      <xdr:colOff>324970</xdr:colOff>
      <xdr:row>4</xdr:row>
      <xdr:rowOff>78442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11586882" y="448235"/>
          <a:ext cx="2162735" cy="4594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PRAKTIK</a:t>
          </a:r>
          <a:r>
            <a:rPr lang="en-US" sz="1100" baseline="0">
              <a:solidFill>
                <a:srgbClr val="FF0000"/>
              </a:solidFill>
            </a:rPr>
            <a:t> ?</a:t>
          </a:r>
        </a:p>
        <a:p>
          <a:r>
            <a:rPr lang="en-US" sz="1100" baseline="0"/>
            <a:t>Kosongi jika tidak melaksanakan !</a:t>
          </a:r>
          <a:endParaRPr lang="en-US" sz="1100"/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9525</xdr:rowOff>
    </xdr:from>
    <xdr:to>
      <xdr:col>2</xdr:col>
      <xdr:colOff>323851</xdr:colOff>
      <xdr:row>5</xdr:row>
      <xdr:rowOff>0</xdr:rowOff>
    </xdr:to>
    <xdr:sp macro="" textlink="">
      <xdr:nvSpPr>
        <xdr:cNvPr id="2" name="Rectangle 1">
          <a:hlinkClick xmlns:r="http://schemas.openxmlformats.org/officeDocument/2006/relationships" r:id="rId1" tooltip="Home/Pengaturan"/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SpPr/>
      </xdr:nvSpPr>
      <xdr:spPr>
        <a:xfrm>
          <a:off x="285750" y="457200"/>
          <a:ext cx="638176" cy="561975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</a:rPr>
            <a:t>H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  <xdr:twoCellAnchor>
    <xdr:from>
      <xdr:col>16</xdr:col>
      <xdr:colOff>428626</xdr:colOff>
      <xdr:row>2</xdr:row>
      <xdr:rowOff>19050</xdr:rowOff>
    </xdr:from>
    <xdr:to>
      <xdr:col>17</xdr:col>
      <xdr:colOff>514351</xdr:colOff>
      <xdr:row>5</xdr:row>
      <xdr:rowOff>0</xdr:rowOff>
    </xdr:to>
    <xdr:sp macro="" textlink="">
      <xdr:nvSpPr>
        <xdr:cNvPr id="3" name="Rectangle 2">
          <a:hlinkClick xmlns:r="http://schemas.openxmlformats.org/officeDocument/2006/relationships" r:id="rId2" tooltip="IJAZAH"/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SpPr/>
      </xdr:nvSpPr>
      <xdr:spPr>
        <a:xfrm>
          <a:off x="10963276" y="466725"/>
          <a:ext cx="647700" cy="552450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  <a:sym typeface="Wingdings"/>
            </a:rPr>
            <a:t>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  <xdr:twoCellAnchor>
    <xdr:from>
      <xdr:col>12</xdr:col>
      <xdr:colOff>66675</xdr:colOff>
      <xdr:row>0</xdr:row>
      <xdr:rowOff>190500</xdr:rowOff>
    </xdr:from>
    <xdr:to>
      <xdr:col>16</xdr:col>
      <xdr:colOff>314325</xdr:colOff>
      <xdr:row>3</xdr:row>
      <xdr:rowOff>171450</xdr:rowOff>
    </xdr:to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8315325" y="190500"/>
          <a:ext cx="2533650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NILAI</a:t>
          </a:r>
          <a:r>
            <a:rPr lang="en-US" sz="1100" baseline="0"/>
            <a:t> US MERUPAKAN RATA-RATA RAPOR  KELAS  4 SMT 1 &amp;2,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5 SMT  1 &amp; 2,  6 SMT 1, PRAKTIK DAN USD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57245</xdr:colOff>
      <xdr:row>7</xdr:row>
      <xdr:rowOff>101024</xdr:rowOff>
    </xdr:from>
    <xdr:to>
      <xdr:col>13</xdr:col>
      <xdr:colOff>517716</xdr:colOff>
      <xdr:row>9</xdr:row>
      <xdr:rowOff>139749</xdr:rowOff>
    </xdr:to>
    <xdr:sp macro="" textlink="">
      <xdr:nvSpPr>
        <xdr:cNvPr id="3" name="Rectangle 2">
          <a:hlinkClick xmlns:r="http://schemas.openxmlformats.org/officeDocument/2006/relationships" r:id="rId1" tooltip="Home/Pengaturan"/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SpPr/>
      </xdr:nvSpPr>
      <xdr:spPr>
        <a:xfrm>
          <a:off x="8134445" y="1339274"/>
          <a:ext cx="460471" cy="753100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</a:rPr>
            <a:t>H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  <xdr:twoCellAnchor>
    <xdr:from>
      <xdr:col>4</xdr:col>
      <xdr:colOff>141110</xdr:colOff>
      <xdr:row>50</xdr:row>
      <xdr:rowOff>184006</xdr:rowOff>
    </xdr:from>
    <xdr:to>
      <xdr:col>6</xdr:col>
      <xdr:colOff>13165</xdr:colOff>
      <xdr:row>55</xdr:row>
      <xdr:rowOff>141111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SpPr/>
      </xdr:nvSpPr>
      <xdr:spPr>
        <a:xfrm>
          <a:off x="2243666" y="9814839"/>
          <a:ext cx="1036221" cy="135410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700"/>
            <a:t>Pas</a:t>
          </a:r>
          <a:r>
            <a:rPr lang="en-US" sz="700" baseline="0"/>
            <a:t> Foto</a:t>
          </a:r>
        </a:p>
        <a:p>
          <a:pPr algn="ctr"/>
          <a:r>
            <a:rPr lang="en-US" sz="700" baseline="0"/>
            <a:t>3 cm x 4 cm</a:t>
          </a:r>
        </a:p>
        <a:p>
          <a:pPr algn="ctr"/>
          <a:r>
            <a:rPr lang="en-US" sz="700" baseline="0"/>
            <a:t>Hitam putih</a:t>
          </a:r>
        </a:p>
        <a:p>
          <a:pPr algn="ctr"/>
          <a:endParaRPr lang="en-US" sz="700" baseline="0"/>
        </a:p>
      </xdr:txBody>
    </xdr:sp>
    <xdr:clientData/>
  </xdr:twoCellAnchor>
  <xdr:twoCellAnchor editAs="oneCell">
    <xdr:from>
      <xdr:col>1</xdr:col>
      <xdr:colOff>0</xdr:colOff>
      <xdr:row>1</xdr:row>
      <xdr:rowOff>21648</xdr:rowOff>
    </xdr:from>
    <xdr:to>
      <xdr:col>1</xdr:col>
      <xdr:colOff>0</xdr:colOff>
      <xdr:row>57</xdr:row>
      <xdr:rowOff>134482</xdr:rowOff>
    </xdr:to>
    <xdr:pic>
      <xdr:nvPicPr>
        <xdr:cNvPr id="5" name="Picture 4" descr="410-4105306_square-design-png.png">
          <a:extLst>
            <a:ext uri="{FF2B5EF4-FFF2-40B4-BE49-F238E27FC236}">
              <a16:creationId xmlns=""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7650" y="212148"/>
          <a:ext cx="0" cy="11426041"/>
        </a:xfrm>
        <a:prstGeom prst="rect">
          <a:avLst/>
        </a:prstGeom>
      </xdr:spPr>
    </xdr:pic>
    <xdr:clientData/>
  </xdr:twoCellAnchor>
  <xdr:twoCellAnchor editAs="oneCell">
    <xdr:from>
      <xdr:col>0</xdr:col>
      <xdr:colOff>260787</xdr:colOff>
      <xdr:row>0</xdr:row>
      <xdr:rowOff>162278</xdr:rowOff>
    </xdr:from>
    <xdr:to>
      <xdr:col>11</xdr:col>
      <xdr:colOff>7937</xdr:colOff>
      <xdr:row>58</xdr:row>
      <xdr:rowOff>722312</xdr:rowOff>
    </xdr:to>
    <xdr:pic>
      <xdr:nvPicPr>
        <xdr:cNvPr id="7" name="Picture 6" descr="410-4105306_square-design-png.png">
          <a:extLst>
            <a:ext uri="{FF2B5EF4-FFF2-40B4-BE49-F238E27FC236}">
              <a16:creationId xmlns="" xmlns:a16="http://schemas.microsoft.com/office/drawing/2014/main" id="{00000000-0008-0000-0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0787" y="162278"/>
          <a:ext cx="7986275" cy="12140847"/>
        </a:xfrm>
        <a:prstGeom prst="rect">
          <a:avLst/>
        </a:prstGeom>
      </xdr:spPr>
    </xdr:pic>
    <xdr:clientData/>
  </xdr:twoCellAnchor>
  <xdr:twoCellAnchor>
    <xdr:from>
      <xdr:col>12</xdr:col>
      <xdr:colOff>123825</xdr:colOff>
      <xdr:row>29</xdr:row>
      <xdr:rowOff>0</xdr:rowOff>
    </xdr:from>
    <xdr:to>
      <xdr:col>14</xdr:col>
      <xdr:colOff>381000</xdr:colOff>
      <xdr:row>31</xdr:row>
      <xdr:rowOff>85725</xdr:rowOff>
    </xdr:to>
    <xdr:sp macro="" textlink="">
      <xdr:nvSpPr>
        <xdr:cNvPr id="8" name="Rectangle 7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D00-000008000000}"/>
            </a:ext>
          </a:extLst>
        </xdr:cNvPr>
        <xdr:cNvSpPr/>
      </xdr:nvSpPr>
      <xdr:spPr>
        <a:xfrm>
          <a:off x="7924800" y="5905500"/>
          <a:ext cx="1143000" cy="48577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PENGATURAN LULUS</a:t>
          </a:r>
        </a:p>
      </xdr:txBody>
    </xdr:sp>
    <xdr:clientData/>
  </xdr:twoCellAnchor>
  <xdr:twoCellAnchor>
    <xdr:from>
      <xdr:col>12</xdr:col>
      <xdr:colOff>152400</xdr:colOff>
      <xdr:row>32</xdr:row>
      <xdr:rowOff>95250</xdr:rowOff>
    </xdr:from>
    <xdr:to>
      <xdr:col>14</xdr:col>
      <xdr:colOff>409575</xdr:colOff>
      <xdr:row>35</xdr:row>
      <xdr:rowOff>9525</xdr:rowOff>
    </xdr:to>
    <xdr:sp macro="" textlink="">
      <xdr:nvSpPr>
        <xdr:cNvPr id="9" name="Rectangle 8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D00-000009000000}"/>
            </a:ext>
          </a:extLst>
        </xdr:cNvPr>
        <xdr:cNvSpPr/>
      </xdr:nvSpPr>
      <xdr:spPr>
        <a:xfrm>
          <a:off x="7953375" y="6600825"/>
          <a:ext cx="1143000" cy="48577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SUMBER</a:t>
          </a:r>
          <a:r>
            <a:rPr lang="en-US" sz="1100" baseline="0"/>
            <a:t> NILAI</a:t>
          </a:r>
          <a:endParaRPr lang="en-US" sz="1100"/>
        </a:p>
      </xdr:txBody>
    </xdr:sp>
    <xdr:clientData/>
  </xdr:twoCellAnchor>
  <xdr:twoCellAnchor editAs="oneCell">
    <xdr:from>
      <xdr:col>2</xdr:col>
      <xdr:colOff>29475</xdr:colOff>
      <xdr:row>6</xdr:row>
      <xdr:rowOff>4313</xdr:rowOff>
    </xdr:from>
    <xdr:to>
      <xdr:col>4</xdr:col>
      <xdr:colOff>27670</xdr:colOff>
      <xdr:row>10</xdr:row>
      <xdr:rowOff>20440</xdr:rowOff>
    </xdr:to>
    <xdr:pic>
      <xdr:nvPicPr>
        <xdr:cNvPr id="10" name="Picture 9" descr="LOGO WNG.png">
          <a:extLst>
            <a:ext uri="{FF2B5EF4-FFF2-40B4-BE49-F238E27FC236}">
              <a16:creationId xmlns="" xmlns:a16="http://schemas.microsoft.com/office/drawing/2014/main" id="{00000000-0008-0000-0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143720" y="1145516"/>
          <a:ext cx="726049" cy="86066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2</xdr:row>
      <xdr:rowOff>0</xdr:rowOff>
    </xdr:from>
    <xdr:to>
      <xdr:col>12</xdr:col>
      <xdr:colOff>676276</xdr:colOff>
      <xdr:row>4</xdr:row>
      <xdr:rowOff>104775</xdr:rowOff>
    </xdr:to>
    <xdr:sp macro="" textlink="">
      <xdr:nvSpPr>
        <xdr:cNvPr id="3" name="Rectangle 2">
          <a:hlinkClick xmlns:r="http://schemas.openxmlformats.org/officeDocument/2006/relationships" r:id="rId1" tooltip="Home/Pengaturan"/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SpPr/>
      </xdr:nvSpPr>
      <xdr:spPr>
        <a:xfrm>
          <a:off x="7048500" y="285750"/>
          <a:ext cx="638176" cy="561975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</a:rPr>
            <a:t>H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624722</xdr:colOff>
      <xdr:row>34</xdr:row>
      <xdr:rowOff>72573</xdr:rowOff>
    </xdr:from>
    <xdr:to>
      <xdr:col>4</xdr:col>
      <xdr:colOff>1513570</xdr:colOff>
      <xdr:row>39</xdr:row>
      <xdr:rowOff>127001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SpPr/>
      </xdr:nvSpPr>
      <xdr:spPr>
        <a:xfrm>
          <a:off x="2910722" y="7946573"/>
          <a:ext cx="888848" cy="103867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700"/>
            <a:t>Pas</a:t>
          </a:r>
          <a:r>
            <a:rPr lang="en-US" sz="700" baseline="0"/>
            <a:t> Foto</a:t>
          </a:r>
        </a:p>
        <a:p>
          <a:pPr algn="ctr"/>
          <a:r>
            <a:rPr lang="en-US" sz="700" baseline="0"/>
            <a:t>3 cm x 4 cm</a:t>
          </a:r>
        </a:p>
        <a:p>
          <a:pPr algn="ctr"/>
          <a:r>
            <a:rPr lang="en-US" sz="700" baseline="0"/>
            <a:t>Hitam putih atau berwarna</a:t>
          </a:r>
        </a:p>
        <a:p>
          <a:pPr algn="ctr"/>
          <a:endParaRPr lang="en-US" sz="700" baseline="0"/>
        </a:p>
        <a:p>
          <a:pPr algn="ctr"/>
          <a:r>
            <a:rPr lang="en-US" sz="700" baseline="0"/>
            <a:t>cap tiga jari tengah tangan kiri</a:t>
          </a:r>
          <a:endParaRPr lang="en-US" sz="700"/>
        </a:p>
      </xdr:txBody>
    </xdr:sp>
    <xdr:clientData/>
  </xdr:twoCellAnchor>
  <xdr:twoCellAnchor editAs="oneCell">
    <xdr:from>
      <xdr:col>0</xdr:col>
      <xdr:colOff>973668</xdr:colOff>
      <xdr:row>0</xdr:row>
      <xdr:rowOff>79560</xdr:rowOff>
    </xdr:from>
    <xdr:to>
      <xdr:col>12</xdr:col>
      <xdr:colOff>174624</xdr:colOff>
      <xdr:row>45</xdr:row>
      <xdr:rowOff>114300</xdr:rowOff>
    </xdr:to>
    <xdr:pic>
      <xdr:nvPicPr>
        <xdr:cNvPr id="3" name="Picture 2" descr="Untitled-1.gif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3668" y="79560"/>
          <a:ext cx="7684556" cy="10194740"/>
        </a:xfrm>
        <a:prstGeom prst="rect">
          <a:avLst/>
        </a:prstGeom>
      </xdr:spPr>
    </xdr:pic>
    <xdr:clientData/>
  </xdr:twoCellAnchor>
  <xdr:twoCellAnchor>
    <xdr:from>
      <xdr:col>12</xdr:col>
      <xdr:colOff>333375</xdr:colOff>
      <xdr:row>1</xdr:row>
      <xdr:rowOff>66675</xdr:rowOff>
    </xdr:from>
    <xdr:to>
      <xdr:col>13</xdr:col>
      <xdr:colOff>600076</xdr:colOff>
      <xdr:row>4</xdr:row>
      <xdr:rowOff>57150</xdr:rowOff>
    </xdr:to>
    <xdr:sp macro="" textlink="">
      <xdr:nvSpPr>
        <xdr:cNvPr id="4" name="Rectangle 3">
          <a:hlinkClick xmlns:r="http://schemas.openxmlformats.org/officeDocument/2006/relationships" r:id="rId2" tooltip="Home/Pengaturan"/>
          <a:extLst>
            <a:ext uri="{FF2B5EF4-FFF2-40B4-BE49-F238E27FC236}">
              <a16:creationId xmlns="" xmlns:a16="http://schemas.microsoft.com/office/drawing/2014/main" id="{00000000-0008-0000-0F00-000004000000}"/>
            </a:ext>
          </a:extLst>
        </xdr:cNvPr>
        <xdr:cNvSpPr/>
      </xdr:nvSpPr>
      <xdr:spPr>
        <a:xfrm>
          <a:off x="8429625" y="257175"/>
          <a:ext cx="638176" cy="561975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</a:rPr>
            <a:t>H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9525</xdr:rowOff>
    </xdr:from>
    <xdr:to>
      <xdr:col>2</xdr:col>
      <xdr:colOff>323851</xdr:colOff>
      <xdr:row>5</xdr:row>
      <xdr:rowOff>0</xdr:rowOff>
    </xdr:to>
    <xdr:sp macro="" textlink="">
      <xdr:nvSpPr>
        <xdr:cNvPr id="4" name="Rectangle 3">
          <a:hlinkClick xmlns:r="http://schemas.openxmlformats.org/officeDocument/2006/relationships" r:id="rId1" tooltip="Home/Pengaturan"/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SpPr/>
      </xdr:nvSpPr>
      <xdr:spPr>
        <a:xfrm>
          <a:off x="285750" y="457200"/>
          <a:ext cx="638176" cy="561975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</a:rPr>
            <a:t>H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2</xdr:row>
      <xdr:rowOff>104775</xdr:rowOff>
    </xdr:from>
    <xdr:to>
      <xdr:col>15</xdr:col>
      <xdr:colOff>1</xdr:colOff>
      <xdr:row>5</xdr:row>
      <xdr:rowOff>95250</xdr:rowOff>
    </xdr:to>
    <xdr:sp macro="" textlink="">
      <xdr:nvSpPr>
        <xdr:cNvPr id="2" name="Rectangle 1">
          <a:hlinkClick xmlns:r="http://schemas.openxmlformats.org/officeDocument/2006/relationships" r:id="rId1" tooltip="Home/Pengaturan"/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SpPr/>
      </xdr:nvSpPr>
      <xdr:spPr>
        <a:xfrm>
          <a:off x="9515475" y="361950"/>
          <a:ext cx="571501" cy="561975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</a:rPr>
            <a:t>H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9525</xdr:rowOff>
    </xdr:from>
    <xdr:to>
      <xdr:col>2</xdr:col>
      <xdr:colOff>323851</xdr:colOff>
      <xdr:row>6</xdr:row>
      <xdr:rowOff>0</xdr:rowOff>
    </xdr:to>
    <xdr:sp macro="" textlink="">
      <xdr:nvSpPr>
        <xdr:cNvPr id="2" name="Rectangle 1">
          <a:hlinkClick xmlns:r="http://schemas.openxmlformats.org/officeDocument/2006/relationships" r:id="rId1" tooltip="Home/Pengaturan"/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SpPr/>
      </xdr:nvSpPr>
      <xdr:spPr>
        <a:xfrm>
          <a:off x="285750" y="457200"/>
          <a:ext cx="638176" cy="561975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</a:rPr>
            <a:t>H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  <xdr:twoCellAnchor>
    <xdr:from>
      <xdr:col>21</xdr:col>
      <xdr:colOff>114301</xdr:colOff>
      <xdr:row>2</xdr:row>
      <xdr:rowOff>114300</xdr:rowOff>
    </xdr:from>
    <xdr:to>
      <xdr:col>21</xdr:col>
      <xdr:colOff>781051</xdr:colOff>
      <xdr:row>5</xdr:row>
      <xdr:rowOff>104775</xdr:rowOff>
    </xdr:to>
    <xdr:sp macro="" textlink="">
      <xdr:nvSpPr>
        <xdr:cNvPr id="3" name="Rectangle 2">
          <a:hlinkClick xmlns:r="http://schemas.openxmlformats.org/officeDocument/2006/relationships" r:id="rId2" tooltip="Rekap Nilai Rapor"/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SpPr/>
      </xdr:nvSpPr>
      <xdr:spPr>
        <a:xfrm>
          <a:off x="10134601" y="371475"/>
          <a:ext cx="666750" cy="571500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  <a:sym typeface="Wingdings"/>
            </a:rPr>
            <a:t>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</xdr:rowOff>
    </xdr:from>
    <xdr:to>
      <xdr:col>2</xdr:col>
      <xdr:colOff>247651</xdr:colOff>
      <xdr:row>1</xdr:row>
      <xdr:rowOff>161926</xdr:rowOff>
    </xdr:to>
    <xdr:sp macro="" textlink="">
      <xdr:nvSpPr>
        <xdr:cNvPr id="2" name="Rectangle 1">
          <a:hlinkClick xmlns:r="http://schemas.openxmlformats.org/officeDocument/2006/relationships" r:id="rId1" tooltip="Home/Pengaturan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247650" y="1"/>
          <a:ext cx="638176" cy="571500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</a:rPr>
            <a:t>H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</xdr:row>
      <xdr:rowOff>133351</xdr:rowOff>
    </xdr:from>
    <xdr:to>
      <xdr:col>3</xdr:col>
      <xdr:colOff>123824</xdr:colOff>
      <xdr:row>5</xdr:row>
      <xdr:rowOff>219076</xdr:rowOff>
    </xdr:to>
    <xdr:pic>
      <xdr:nvPicPr>
        <xdr:cNvPr id="2" name="Picture 1" descr="Logo Kabupaten Wonogiri.png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9575" y="523876"/>
          <a:ext cx="571499" cy="742950"/>
        </a:xfrm>
        <a:prstGeom prst="rect">
          <a:avLst/>
        </a:prstGeom>
      </xdr:spPr>
    </xdr:pic>
    <xdr:clientData/>
  </xdr:twoCellAnchor>
  <xdr:twoCellAnchor>
    <xdr:from>
      <xdr:col>1</xdr:col>
      <xdr:colOff>85725</xdr:colOff>
      <xdr:row>8</xdr:row>
      <xdr:rowOff>47625</xdr:rowOff>
    </xdr:from>
    <xdr:to>
      <xdr:col>16</xdr:col>
      <xdr:colOff>76200</xdr:colOff>
      <xdr:row>8</xdr:row>
      <xdr:rowOff>47625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1300-000003000000}"/>
            </a:ext>
          </a:extLst>
        </xdr:cNvPr>
        <xdr:cNvCxnSpPr/>
      </xdr:nvCxnSpPr>
      <xdr:spPr>
        <a:xfrm>
          <a:off x="361950" y="1495425"/>
          <a:ext cx="5524500" cy="0"/>
        </a:xfrm>
        <a:prstGeom prst="line">
          <a:avLst/>
        </a:prstGeom>
        <a:ln w="53975" cmpd="thickThin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3</xdr:row>
      <xdr:rowOff>0</xdr:rowOff>
    </xdr:from>
    <xdr:to>
      <xdr:col>17</xdr:col>
      <xdr:colOff>704850</xdr:colOff>
      <xdr:row>6</xdr:row>
      <xdr:rowOff>127186</xdr:rowOff>
    </xdr:to>
    <xdr:sp macro="" textlink="">
      <xdr:nvSpPr>
        <xdr:cNvPr id="4" name="Rectangle 3">
          <a:hlinkClick xmlns:r="http://schemas.openxmlformats.org/officeDocument/2006/relationships" r:id="rId2" tooltip="Home/Pengaturan"/>
          <a:extLst>
            <a:ext uri="{FF2B5EF4-FFF2-40B4-BE49-F238E27FC236}">
              <a16:creationId xmlns="" xmlns:a16="http://schemas.microsoft.com/office/drawing/2014/main" id="{00000000-0008-0000-1300-000004000000}"/>
            </a:ext>
          </a:extLst>
        </xdr:cNvPr>
        <xdr:cNvSpPr/>
      </xdr:nvSpPr>
      <xdr:spPr>
        <a:xfrm>
          <a:off x="6305550" y="590550"/>
          <a:ext cx="609600" cy="584386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</a:rPr>
            <a:t>H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20</xdr:row>
      <xdr:rowOff>104891</xdr:rowOff>
    </xdr:from>
    <xdr:to>
      <xdr:col>1</xdr:col>
      <xdr:colOff>566581</xdr:colOff>
      <xdr:row>22</xdr:row>
      <xdr:rowOff>134711</xdr:rowOff>
    </xdr:to>
    <xdr:pic>
      <xdr:nvPicPr>
        <xdr:cNvPr id="2" name="Picture 1" descr="pngfind.com-instagram-symbol-png-102915.png">
          <a:hlinkClick xmlns:r="http://schemas.openxmlformats.org/officeDocument/2006/relationships" r:id="rId1" tooltip="085229842024"/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9125" y="4105391"/>
          <a:ext cx="557056" cy="410820"/>
        </a:xfrm>
        <a:prstGeom prst="rect">
          <a:avLst/>
        </a:prstGeom>
      </xdr:spPr>
    </xdr:pic>
    <xdr:clientData/>
  </xdr:twoCellAnchor>
  <xdr:twoCellAnchor>
    <xdr:from>
      <xdr:col>14</xdr:col>
      <xdr:colOff>400050</xdr:colOff>
      <xdr:row>1</xdr:row>
      <xdr:rowOff>38100</xdr:rowOff>
    </xdr:from>
    <xdr:to>
      <xdr:col>15</xdr:col>
      <xdr:colOff>423583</xdr:colOff>
      <xdr:row>4</xdr:row>
      <xdr:rowOff>28575</xdr:rowOff>
    </xdr:to>
    <xdr:sp macro="" textlink="">
      <xdr:nvSpPr>
        <xdr:cNvPr id="3" name="Rectangle 2">
          <a:hlinkClick xmlns:r="http://schemas.openxmlformats.org/officeDocument/2006/relationships" r:id="rId3" tooltip="Home/Pengaturan"/>
          <a:extLst>
            <a:ext uri="{FF2B5EF4-FFF2-40B4-BE49-F238E27FC236}">
              <a16:creationId xmlns="" xmlns:a16="http://schemas.microsoft.com/office/drawing/2014/main" id="{00000000-0008-0000-1400-000003000000}"/>
            </a:ext>
          </a:extLst>
        </xdr:cNvPr>
        <xdr:cNvSpPr/>
      </xdr:nvSpPr>
      <xdr:spPr>
        <a:xfrm>
          <a:off x="8934450" y="228600"/>
          <a:ext cx="633133" cy="561975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</a:rPr>
            <a:t>H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  <xdr:twoCellAnchor editAs="oneCell">
    <xdr:from>
      <xdr:col>2</xdr:col>
      <xdr:colOff>9524</xdr:colOff>
      <xdr:row>19</xdr:row>
      <xdr:rowOff>30955</xdr:rowOff>
    </xdr:from>
    <xdr:to>
      <xdr:col>3</xdr:col>
      <xdr:colOff>171449</xdr:colOff>
      <xdr:row>23</xdr:row>
      <xdr:rowOff>104774</xdr:rowOff>
    </xdr:to>
    <xdr:pic>
      <xdr:nvPicPr>
        <xdr:cNvPr id="66561" name="Picture 1" descr="Gambar mungkin berisi: 2 orang, dekat">
          <a:extLst>
            <a:ext uri="{FF2B5EF4-FFF2-40B4-BE49-F238E27FC236}">
              <a16:creationId xmlns="" xmlns:a16="http://schemas.microsoft.com/office/drawing/2014/main" id="{00000000-0008-0000-1400-0000010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28724" y="3840955"/>
          <a:ext cx="771525" cy="83581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9525</xdr:rowOff>
    </xdr:from>
    <xdr:to>
      <xdr:col>2</xdr:col>
      <xdr:colOff>323851</xdr:colOff>
      <xdr:row>5</xdr:row>
      <xdr:rowOff>0</xdr:rowOff>
    </xdr:to>
    <xdr:sp macro="" textlink="">
      <xdr:nvSpPr>
        <xdr:cNvPr id="2" name="Rectangle 1">
          <a:hlinkClick xmlns:r="http://schemas.openxmlformats.org/officeDocument/2006/relationships" r:id="rId1" tooltip="Home/Pengaturan"/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285750" y="457200"/>
          <a:ext cx="638176" cy="561975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</a:rPr>
            <a:t>H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  <xdr:twoCellAnchor>
    <xdr:from>
      <xdr:col>40</xdr:col>
      <xdr:colOff>428626</xdr:colOff>
      <xdr:row>2</xdr:row>
      <xdr:rowOff>19050</xdr:rowOff>
    </xdr:from>
    <xdr:to>
      <xdr:col>41</xdr:col>
      <xdr:colOff>514351</xdr:colOff>
      <xdr:row>5</xdr:row>
      <xdr:rowOff>0</xdr:rowOff>
    </xdr:to>
    <xdr:sp macro="" textlink="">
      <xdr:nvSpPr>
        <xdr:cNvPr id="3" name="Rectangle 2">
          <a:hlinkClick xmlns:r="http://schemas.openxmlformats.org/officeDocument/2006/relationships" r:id="rId2" tooltip="Rekap Nilai Rapor"/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10963276" y="466725"/>
          <a:ext cx="647700" cy="552450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  <a:sym typeface="Wingdings"/>
            </a:rPr>
            <a:t>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9525</xdr:rowOff>
    </xdr:from>
    <xdr:to>
      <xdr:col>2</xdr:col>
      <xdr:colOff>323851</xdr:colOff>
      <xdr:row>5</xdr:row>
      <xdr:rowOff>0</xdr:rowOff>
    </xdr:to>
    <xdr:sp macro="" textlink="">
      <xdr:nvSpPr>
        <xdr:cNvPr id="2" name="Rectangle 1">
          <a:hlinkClick xmlns:r="http://schemas.openxmlformats.org/officeDocument/2006/relationships" r:id="rId1" tooltip="Home/Pengaturan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180975" y="457200"/>
          <a:ext cx="638176" cy="561975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</a:rPr>
            <a:t>H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  <xdr:twoCellAnchor>
    <xdr:from>
      <xdr:col>40</xdr:col>
      <xdr:colOff>428626</xdr:colOff>
      <xdr:row>2</xdr:row>
      <xdr:rowOff>19050</xdr:rowOff>
    </xdr:from>
    <xdr:to>
      <xdr:col>41</xdr:col>
      <xdr:colOff>514351</xdr:colOff>
      <xdr:row>5</xdr:row>
      <xdr:rowOff>0</xdr:rowOff>
    </xdr:to>
    <xdr:sp macro="" textlink="">
      <xdr:nvSpPr>
        <xdr:cNvPr id="3" name="Rectangle 2">
          <a:hlinkClick xmlns:r="http://schemas.openxmlformats.org/officeDocument/2006/relationships" r:id="rId2" tooltip="Rekap Nilai Rapor"/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18107026" y="466725"/>
          <a:ext cx="638175" cy="552450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  <a:sym typeface="Wingdings"/>
            </a:rPr>
            <a:t>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9525</xdr:rowOff>
    </xdr:from>
    <xdr:to>
      <xdr:col>2</xdr:col>
      <xdr:colOff>323851</xdr:colOff>
      <xdr:row>5</xdr:row>
      <xdr:rowOff>0</xdr:rowOff>
    </xdr:to>
    <xdr:sp macro="" textlink="">
      <xdr:nvSpPr>
        <xdr:cNvPr id="2" name="Rectangle 1">
          <a:hlinkClick xmlns:r="http://schemas.openxmlformats.org/officeDocument/2006/relationships" r:id="rId1" tooltip="Home/Pengaturan"/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180975" y="457200"/>
          <a:ext cx="638176" cy="561975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</a:rPr>
            <a:t>H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  <xdr:twoCellAnchor>
    <xdr:from>
      <xdr:col>40</xdr:col>
      <xdr:colOff>428626</xdr:colOff>
      <xdr:row>2</xdr:row>
      <xdr:rowOff>19050</xdr:rowOff>
    </xdr:from>
    <xdr:to>
      <xdr:col>41</xdr:col>
      <xdr:colOff>514351</xdr:colOff>
      <xdr:row>5</xdr:row>
      <xdr:rowOff>0</xdr:rowOff>
    </xdr:to>
    <xdr:sp macro="" textlink="">
      <xdr:nvSpPr>
        <xdr:cNvPr id="3" name="Rectangle 2">
          <a:hlinkClick xmlns:r="http://schemas.openxmlformats.org/officeDocument/2006/relationships" r:id="rId2" tooltip="Rekap Nilai Rapor"/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18107026" y="466725"/>
          <a:ext cx="638175" cy="552450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  <a:sym typeface="Wingdings"/>
            </a:rPr>
            <a:t>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9525</xdr:rowOff>
    </xdr:from>
    <xdr:to>
      <xdr:col>2</xdr:col>
      <xdr:colOff>323851</xdr:colOff>
      <xdr:row>5</xdr:row>
      <xdr:rowOff>0</xdr:rowOff>
    </xdr:to>
    <xdr:sp macro="" textlink="">
      <xdr:nvSpPr>
        <xdr:cNvPr id="2" name="Rectangle 1">
          <a:hlinkClick xmlns:r="http://schemas.openxmlformats.org/officeDocument/2006/relationships" r:id="rId1" tooltip="Home/Pengaturan"/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180975" y="457200"/>
          <a:ext cx="638176" cy="561975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</a:rPr>
            <a:t>H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  <xdr:twoCellAnchor>
    <xdr:from>
      <xdr:col>40</xdr:col>
      <xdr:colOff>428626</xdr:colOff>
      <xdr:row>2</xdr:row>
      <xdr:rowOff>19050</xdr:rowOff>
    </xdr:from>
    <xdr:to>
      <xdr:col>41</xdr:col>
      <xdr:colOff>514351</xdr:colOff>
      <xdr:row>5</xdr:row>
      <xdr:rowOff>0</xdr:rowOff>
    </xdr:to>
    <xdr:sp macro="" textlink="">
      <xdr:nvSpPr>
        <xdr:cNvPr id="3" name="Rectangle 2">
          <a:hlinkClick xmlns:r="http://schemas.openxmlformats.org/officeDocument/2006/relationships" r:id="rId2" tooltip="Rekap Nilai Rapor"/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/>
      </xdr:nvSpPr>
      <xdr:spPr>
        <a:xfrm>
          <a:off x="18107026" y="466725"/>
          <a:ext cx="638175" cy="552450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  <a:sym typeface="Wingdings"/>
            </a:rPr>
            <a:t>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  <xdr:twoCellAnchor>
    <xdr:from>
      <xdr:col>1</xdr:col>
      <xdr:colOff>38100</xdr:colOff>
      <xdr:row>2</xdr:row>
      <xdr:rowOff>9525</xdr:rowOff>
    </xdr:from>
    <xdr:to>
      <xdr:col>2</xdr:col>
      <xdr:colOff>323851</xdr:colOff>
      <xdr:row>5</xdr:row>
      <xdr:rowOff>0</xdr:rowOff>
    </xdr:to>
    <xdr:sp macro="" textlink="">
      <xdr:nvSpPr>
        <xdr:cNvPr id="4" name="Rectangle 3">
          <a:hlinkClick xmlns:r="http://schemas.openxmlformats.org/officeDocument/2006/relationships" r:id="rId3" tooltip="Home/Pengaturan"/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SpPr/>
      </xdr:nvSpPr>
      <xdr:spPr>
        <a:xfrm>
          <a:off x="190500" y="346075"/>
          <a:ext cx="654051" cy="549275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</a:rPr>
            <a:t>H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  <xdr:twoCellAnchor>
    <xdr:from>
      <xdr:col>40</xdr:col>
      <xdr:colOff>428626</xdr:colOff>
      <xdr:row>2</xdr:row>
      <xdr:rowOff>19050</xdr:rowOff>
    </xdr:from>
    <xdr:to>
      <xdr:col>41</xdr:col>
      <xdr:colOff>514351</xdr:colOff>
      <xdr:row>5</xdr:row>
      <xdr:rowOff>0</xdr:rowOff>
    </xdr:to>
    <xdr:sp macro="" textlink="">
      <xdr:nvSpPr>
        <xdr:cNvPr id="5" name="Rectangle 4">
          <a:hlinkClick xmlns:r="http://schemas.openxmlformats.org/officeDocument/2006/relationships" r:id="rId4" tooltip="Rekap Nilai Rapor"/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SpPr/>
      </xdr:nvSpPr>
      <xdr:spPr>
        <a:xfrm>
          <a:off x="19897726" y="355600"/>
          <a:ext cx="676275" cy="539750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  <a:sym typeface="Wingdings"/>
            </a:rPr>
            <a:t>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9525</xdr:rowOff>
    </xdr:from>
    <xdr:to>
      <xdr:col>2</xdr:col>
      <xdr:colOff>323851</xdr:colOff>
      <xdr:row>5</xdr:row>
      <xdr:rowOff>0</xdr:rowOff>
    </xdr:to>
    <xdr:sp macro="" textlink="">
      <xdr:nvSpPr>
        <xdr:cNvPr id="2" name="Rectangle 1">
          <a:hlinkClick xmlns:r="http://schemas.openxmlformats.org/officeDocument/2006/relationships" r:id="rId1" tooltip="Home/Pengaturan"/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180975" y="457200"/>
          <a:ext cx="638176" cy="561975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</a:rPr>
            <a:t>H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  <xdr:twoCellAnchor>
    <xdr:from>
      <xdr:col>40</xdr:col>
      <xdr:colOff>428626</xdr:colOff>
      <xdr:row>2</xdr:row>
      <xdr:rowOff>19050</xdr:rowOff>
    </xdr:from>
    <xdr:to>
      <xdr:col>41</xdr:col>
      <xdr:colOff>514351</xdr:colOff>
      <xdr:row>5</xdr:row>
      <xdr:rowOff>0</xdr:rowOff>
    </xdr:to>
    <xdr:sp macro="" textlink="">
      <xdr:nvSpPr>
        <xdr:cNvPr id="3" name="Rectangle 2">
          <a:hlinkClick xmlns:r="http://schemas.openxmlformats.org/officeDocument/2006/relationships" r:id="rId2" tooltip="Rekap Nilai Rapor"/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/>
      </xdr:nvSpPr>
      <xdr:spPr>
        <a:xfrm>
          <a:off x="18107026" y="466725"/>
          <a:ext cx="638175" cy="552450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  <a:sym typeface="Wingdings"/>
            </a:rPr>
            <a:t>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9525</xdr:rowOff>
    </xdr:from>
    <xdr:to>
      <xdr:col>2</xdr:col>
      <xdr:colOff>323851</xdr:colOff>
      <xdr:row>5</xdr:row>
      <xdr:rowOff>0</xdr:rowOff>
    </xdr:to>
    <xdr:sp macro="" textlink="">
      <xdr:nvSpPr>
        <xdr:cNvPr id="2" name="Rectangle 1">
          <a:hlinkClick xmlns:r="http://schemas.openxmlformats.org/officeDocument/2006/relationships" r:id="rId1" tooltip="Home/Pengaturan"/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180975" y="457200"/>
          <a:ext cx="638176" cy="561975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</a:rPr>
            <a:t>H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  <xdr:twoCellAnchor>
    <xdr:from>
      <xdr:col>40</xdr:col>
      <xdr:colOff>428626</xdr:colOff>
      <xdr:row>2</xdr:row>
      <xdr:rowOff>19050</xdr:rowOff>
    </xdr:from>
    <xdr:to>
      <xdr:col>41</xdr:col>
      <xdr:colOff>514351</xdr:colOff>
      <xdr:row>5</xdr:row>
      <xdr:rowOff>0</xdr:rowOff>
    </xdr:to>
    <xdr:sp macro="" textlink="">
      <xdr:nvSpPr>
        <xdr:cNvPr id="3" name="Rectangle 2">
          <a:hlinkClick xmlns:r="http://schemas.openxmlformats.org/officeDocument/2006/relationships" r:id="rId2" tooltip="Rekap Nilai Rapor"/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18107026" y="466725"/>
          <a:ext cx="638175" cy="552450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  <a:sym typeface="Wingdings"/>
            </a:rPr>
            <a:t>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9525</xdr:rowOff>
    </xdr:from>
    <xdr:to>
      <xdr:col>2</xdr:col>
      <xdr:colOff>323851</xdr:colOff>
      <xdr:row>5</xdr:row>
      <xdr:rowOff>0</xdr:rowOff>
    </xdr:to>
    <xdr:sp macro="" textlink="">
      <xdr:nvSpPr>
        <xdr:cNvPr id="2" name="Rectangle 1">
          <a:hlinkClick xmlns:r="http://schemas.openxmlformats.org/officeDocument/2006/relationships" r:id="rId1" tooltip="Home/Pengaturan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285750" y="457200"/>
          <a:ext cx="638176" cy="561975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</a:rPr>
            <a:t>H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  <xdr:twoCellAnchor>
    <xdr:from>
      <xdr:col>16</xdr:col>
      <xdr:colOff>428626</xdr:colOff>
      <xdr:row>2</xdr:row>
      <xdr:rowOff>19050</xdr:rowOff>
    </xdr:from>
    <xdr:to>
      <xdr:col>17</xdr:col>
      <xdr:colOff>514351</xdr:colOff>
      <xdr:row>5</xdr:row>
      <xdr:rowOff>0</xdr:rowOff>
    </xdr:to>
    <xdr:sp macro="" textlink="">
      <xdr:nvSpPr>
        <xdr:cNvPr id="3" name="Rectangle 2">
          <a:hlinkClick xmlns:r="http://schemas.openxmlformats.org/officeDocument/2006/relationships" r:id="rId2" tooltip="Rekap Nilai Rapor"/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/>
      </xdr:nvSpPr>
      <xdr:spPr>
        <a:xfrm>
          <a:off x="10963276" y="466725"/>
          <a:ext cx="647700" cy="552450"/>
        </a:xfrm>
        <a:prstGeom prst="rect">
          <a:avLst/>
        </a:prstGeom>
        <a:noFill/>
        <a:ln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3600" b="1">
              <a:solidFill>
                <a:srgbClr val="00206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Webdings" pitchFamily="18" charset="2"/>
              <a:ea typeface="+mn-ea"/>
              <a:cs typeface="+mn-cs"/>
              <a:sym typeface="Wingdings"/>
            </a:rPr>
            <a:t></a:t>
          </a:r>
          <a:endParaRPr lang="id-ID" sz="3600">
            <a:solidFill>
              <a:srgbClr val="002060"/>
            </a:solidFill>
            <a:latin typeface="Webdings" pitchFamily="18" charset="2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dn1giriharjo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8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5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6"/>
  <sheetViews>
    <sheetView showGridLines="0" topLeftCell="A10" zoomScale="70" zoomScaleNormal="70" workbookViewId="0">
      <selection activeCell="D10" sqref="D10"/>
    </sheetView>
  </sheetViews>
  <sheetFormatPr defaultColWidth="0" defaultRowHeight="14.5" zeroHeight="1"/>
  <cols>
    <col min="1" max="1" width="2.54296875" style="127" customWidth="1"/>
    <col min="2" max="2" width="3" style="8" customWidth="1"/>
    <col min="3" max="3" width="19.7265625" style="8" customWidth="1"/>
    <col min="4" max="4" width="37.1796875" style="8" customWidth="1"/>
    <col min="5" max="5" width="1.81640625" style="8" customWidth="1"/>
    <col min="6" max="6" width="18.54296875" style="8" customWidth="1"/>
    <col min="7" max="7" width="11.26953125" style="8" customWidth="1"/>
    <col min="8" max="8" width="1.54296875" style="8" customWidth="1"/>
    <col min="9" max="9" width="29.81640625" style="8" customWidth="1"/>
    <col min="10" max="10" width="11.26953125" style="8" customWidth="1"/>
    <col min="11" max="11" width="8.1796875" style="8" customWidth="1"/>
    <col min="12" max="12" width="2.1796875" style="8" customWidth="1"/>
    <col min="13" max="13" width="9.1796875" style="8" customWidth="1"/>
    <col min="14" max="14" width="16.1796875" style="8" customWidth="1"/>
    <col min="15" max="15" width="3" style="8" customWidth="1"/>
    <col min="16" max="16" width="20" style="8" customWidth="1"/>
    <col min="17" max="17" width="7" style="8" customWidth="1"/>
    <col min="18" max="18" width="43.81640625" style="8" customWidth="1"/>
    <col min="19" max="19" width="1.54296875" style="8" customWidth="1"/>
    <col min="20" max="20" width="3.453125" style="127" customWidth="1"/>
    <col min="21" max="28" width="9.1796875" style="127" hidden="1" customWidth="1"/>
    <col min="29" max="29" width="30.1796875" style="127" hidden="1" customWidth="1"/>
    <col min="30" max="16384" width="9.1796875" style="127" hidden="1"/>
  </cols>
  <sheetData>
    <row r="1" spans="2:29" ht="15" thickBot="1"/>
    <row r="2" spans="2:29" ht="23.25" customHeight="1">
      <c r="B2" s="271"/>
      <c r="C2" s="291" t="s">
        <v>212</v>
      </c>
      <c r="D2" s="430" t="str">
        <f>"APLIKASI PENGOLAHAN NILAI US "&amp;UPPER(Nama_Sekolah)</f>
        <v>APLIKASI PENGOLAHAN NILAI US SEKOLAH DASAR NEGERI 1 GIRIHARJO</v>
      </c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272"/>
    </row>
    <row r="3" spans="2:29">
      <c r="B3" s="273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274"/>
    </row>
    <row r="4" spans="2:29">
      <c r="B4" s="273"/>
      <c r="C4" s="12" t="s">
        <v>11</v>
      </c>
      <c r="D4" s="13"/>
      <c r="E4" s="75"/>
      <c r="F4" s="15" t="s">
        <v>179</v>
      </c>
      <c r="G4" s="16"/>
      <c r="H4" s="75"/>
      <c r="I4" s="177" t="s">
        <v>77</v>
      </c>
      <c r="J4" s="178"/>
      <c r="K4" s="16"/>
      <c r="L4" s="75"/>
      <c r="M4" s="15" t="s">
        <v>78</v>
      </c>
      <c r="N4" s="16"/>
      <c r="O4" s="75"/>
      <c r="P4" s="15" t="s">
        <v>197</v>
      </c>
      <c r="Q4" s="16"/>
      <c r="R4" s="75"/>
      <c r="S4" s="274"/>
    </row>
    <row r="5" spans="2:29" ht="19.5" customHeight="1">
      <c r="B5" s="273"/>
      <c r="C5" s="17" t="s">
        <v>12</v>
      </c>
      <c r="D5" s="3" t="s">
        <v>275</v>
      </c>
      <c r="E5" s="75"/>
      <c r="F5" s="145" t="s">
        <v>174</v>
      </c>
      <c r="G5" s="189">
        <v>71</v>
      </c>
      <c r="H5" s="75"/>
      <c r="I5" s="409" t="s">
        <v>44</v>
      </c>
      <c r="J5" s="268"/>
      <c r="K5" s="282">
        <v>10</v>
      </c>
      <c r="L5" s="75"/>
      <c r="M5" s="269"/>
      <c r="N5" s="269"/>
      <c r="O5" s="75"/>
      <c r="P5" s="269"/>
      <c r="Q5" s="269"/>
      <c r="R5" s="75"/>
      <c r="S5" s="274"/>
      <c r="U5" s="127">
        <v>0</v>
      </c>
      <c r="W5" s="127">
        <v>1</v>
      </c>
      <c r="X5" s="127">
        <v>10</v>
      </c>
      <c r="Z5" s="127" t="s">
        <v>31</v>
      </c>
      <c r="AC5" s="301"/>
    </row>
    <row r="6" spans="2:29" ht="19.5" customHeight="1">
      <c r="B6" s="273"/>
      <c r="C6" s="17" t="s">
        <v>135</v>
      </c>
      <c r="D6" s="3" t="s">
        <v>280</v>
      </c>
      <c r="E6" s="75"/>
      <c r="F6" s="145" t="s">
        <v>26</v>
      </c>
      <c r="G6" s="189">
        <v>71</v>
      </c>
      <c r="H6" s="75"/>
      <c r="I6" s="267" t="s">
        <v>45</v>
      </c>
      <c r="J6" s="268"/>
      <c r="K6" s="176">
        <f>IF(K5=1,10,100)</f>
        <v>100</v>
      </c>
      <c r="L6" s="75"/>
      <c r="M6" s="269"/>
      <c r="N6" s="269"/>
      <c r="O6" s="75"/>
      <c r="P6" s="269"/>
      <c r="Q6" s="269"/>
      <c r="R6" s="75"/>
      <c r="S6" s="274"/>
      <c r="U6" s="127">
        <v>1</v>
      </c>
      <c r="W6" s="127">
        <v>10</v>
      </c>
      <c r="X6" s="127">
        <v>100</v>
      </c>
      <c r="Z6" s="127" t="s">
        <v>32</v>
      </c>
      <c r="AC6" s="301" t="s">
        <v>245</v>
      </c>
    </row>
    <row r="7" spans="2:29" ht="19.5" customHeight="1">
      <c r="B7" s="273"/>
      <c r="C7" s="17" t="str">
        <f>Jenjang</f>
        <v>Sekolah Dasar</v>
      </c>
      <c r="D7" s="3" t="s">
        <v>284</v>
      </c>
      <c r="E7" s="75"/>
      <c r="F7" s="145" t="s">
        <v>27</v>
      </c>
      <c r="G7" s="189">
        <v>60</v>
      </c>
      <c r="H7" s="75"/>
      <c r="I7" s="75"/>
      <c r="J7" s="75"/>
      <c r="K7" s="75"/>
      <c r="L7" s="75"/>
      <c r="M7" s="269"/>
      <c r="N7" s="269"/>
      <c r="O7" s="75"/>
      <c r="P7" s="269"/>
      <c r="Q7" s="269"/>
      <c r="R7" s="75"/>
      <c r="S7" s="274"/>
      <c r="U7" s="127">
        <v>2</v>
      </c>
      <c r="AC7" s="301" t="s">
        <v>246</v>
      </c>
    </row>
    <row r="8" spans="2:29" ht="19.5" customHeight="1">
      <c r="B8" s="273"/>
      <c r="C8" s="17" t="s">
        <v>13</v>
      </c>
      <c r="D8" s="17" t="str">
        <f>C7&amp;" "&amp;Nama_sekolah1</f>
        <v>Sekolah Dasar Negeri 1 Giriharjo</v>
      </c>
      <c r="E8" s="75"/>
      <c r="F8" s="145" t="s">
        <v>28</v>
      </c>
      <c r="G8" s="189">
        <v>60</v>
      </c>
      <c r="H8" s="75"/>
      <c r="I8" s="421" t="s">
        <v>273</v>
      </c>
      <c r="J8" s="178"/>
      <c r="K8" s="16"/>
      <c r="L8" s="75"/>
      <c r="M8" s="269"/>
      <c r="N8" s="269"/>
      <c r="O8" s="75"/>
      <c r="P8" s="269"/>
      <c r="Q8" s="269"/>
      <c r="R8" s="75"/>
      <c r="S8" s="274"/>
      <c r="AC8" s="301" t="s">
        <v>244</v>
      </c>
    </row>
    <row r="9" spans="2:29" ht="19.5" customHeight="1">
      <c r="B9" s="273"/>
      <c r="C9" s="17" t="s">
        <v>285</v>
      </c>
      <c r="D9" s="427" t="s">
        <v>286</v>
      </c>
      <c r="E9" s="75"/>
      <c r="F9" s="145" t="s">
        <v>4</v>
      </c>
      <c r="G9" s="189">
        <v>60</v>
      </c>
      <c r="H9" s="75"/>
      <c r="I9" s="400" t="s">
        <v>271</v>
      </c>
      <c r="J9" s="290"/>
      <c r="K9" s="282">
        <v>2</v>
      </c>
      <c r="L9" s="270">
        <f>IF(K11=100,1,10)</f>
        <v>1</v>
      </c>
      <c r="M9" s="269"/>
      <c r="N9" s="269"/>
      <c r="O9" s="75"/>
      <c r="P9" s="269"/>
      <c r="Q9" s="269"/>
      <c r="R9" s="75"/>
      <c r="S9" s="274"/>
      <c r="AC9" s="301" t="s">
        <v>247</v>
      </c>
    </row>
    <row r="10" spans="2:29" ht="19.5" customHeight="1">
      <c r="B10" s="273"/>
      <c r="C10" s="17" t="s">
        <v>14</v>
      </c>
      <c r="D10" s="3" t="s">
        <v>17</v>
      </c>
      <c r="E10" s="74"/>
      <c r="F10" s="146" t="s">
        <v>29</v>
      </c>
      <c r="G10" s="189">
        <v>71</v>
      </c>
      <c r="H10" s="75"/>
      <c r="I10" s="409" t="s">
        <v>274</v>
      </c>
      <c r="J10" s="290"/>
      <c r="K10" s="179">
        <v>2</v>
      </c>
      <c r="L10" s="75"/>
      <c r="M10" s="269"/>
      <c r="N10" s="269"/>
      <c r="O10" s="75"/>
      <c r="P10" s="269"/>
      <c r="Q10" s="269"/>
      <c r="R10" s="75"/>
      <c r="S10" s="274"/>
      <c r="W10" s="127" t="s">
        <v>240</v>
      </c>
      <c r="AC10" s="301" t="s">
        <v>248</v>
      </c>
    </row>
    <row r="11" spans="2:29" ht="19.5" customHeight="1">
      <c r="B11" s="273"/>
      <c r="C11" s="17" t="s">
        <v>16</v>
      </c>
      <c r="D11" s="3" t="s">
        <v>15</v>
      </c>
      <c r="E11" s="75"/>
      <c r="F11" s="146" t="s">
        <v>227</v>
      </c>
      <c r="G11" s="189">
        <v>71</v>
      </c>
      <c r="H11" s="75"/>
      <c r="I11" s="428" t="s">
        <v>213</v>
      </c>
      <c r="J11" s="429"/>
      <c r="K11" s="266">
        <v>100</v>
      </c>
      <c r="L11" s="75"/>
      <c r="M11" s="269"/>
      <c r="N11" s="269"/>
      <c r="O11" s="75"/>
      <c r="P11" s="269"/>
      <c r="Q11" s="269"/>
      <c r="R11" s="75"/>
      <c r="S11" s="274"/>
      <c r="W11" s="127" t="s">
        <v>280</v>
      </c>
      <c r="AC11" s="301" t="s">
        <v>249</v>
      </c>
    </row>
    <row r="12" spans="2:29" ht="19.5" customHeight="1">
      <c r="B12" s="273"/>
      <c r="C12" s="33" t="s">
        <v>70</v>
      </c>
      <c r="D12" s="153" t="s">
        <v>251</v>
      </c>
      <c r="E12" s="75"/>
      <c r="F12" s="145" t="s">
        <v>6</v>
      </c>
      <c r="G12" s="189">
        <v>71</v>
      </c>
      <c r="H12" s="75"/>
      <c r="I12" s="75"/>
      <c r="J12" s="75"/>
      <c r="K12" s="75"/>
      <c r="L12" s="75"/>
      <c r="M12" s="269"/>
      <c r="N12" s="269"/>
      <c r="O12" s="75"/>
      <c r="P12" s="269"/>
      <c r="Q12" s="269"/>
      <c r="R12" s="75"/>
      <c r="S12" s="274"/>
      <c r="AC12" s="301" t="s">
        <v>250</v>
      </c>
    </row>
    <row r="13" spans="2:29" ht="19.5" customHeight="1">
      <c r="B13" s="273"/>
      <c r="C13" s="18" t="s">
        <v>18</v>
      </c>
      <c r="D13" s="3" t="s">
        <v>111</v>
      </c>
      <c r="E13" s="75"/>
      <c r="F13" s="75"/>
      <c r="G13" s="75"/>
      <c r="H13" s="75"/>
      <c r="I13" s="75"/>
      <c r="J13" s="75"/>
      <c r="K13" s="75"/>
      <c r="L13" s="75"/>
      <c r="M13" s="269"/>
      <c r="N13" s="269"/>
      <c r="O13" s="75"/>
      <c r="P13" s="269"/>
      <c r="Q13" s="269"/>
      <c r="R13" s="75"/>
      <c r="S13" s="274"/>
      <c r="W13" s="203" t="str">
        <f>IF(Jenjang=W10,"SD","Sekolah Dasar")</f>
        <v>Sekolah Dasar</v>
      </c>
    </row>
    <row r="14" spans="2:29" ht="19.5" customHeight="1">
      <c r="B14" s="273"/>
      <c r="C14" s="18" t="s">
        <v>112</v>
      </c>
      <c r="D14" s="149" t="s">
        <v>113</v>
      </c>
      <c r="E14" s="75"/>
      <c r="F14" s="75"/>
      <c r="G14" s="75"/>
      <c r="H14" s="75"/>
      <c r="I14" s="422" t="s">
        <v>65</v>
      </c>
      <c r="J14" s="175"/>
      <c r="K14" s="188"/>
      <c r="L14" s="75"/>
      <c r="M14" s="269"/>
      <c r="N14" s="269"/>
      <c r="O14" s="75"/>
      <c r="P14" s="269"/>
      <c r="Q14" s="269"/>
      <c r="R14" s="75"/>
      <c r="S14" s="274"/>
    </row>
    <row r="15" spans="2:29" ht="19.5" customHeight="1">
      <c r="B15" s="273"/>
      <c r="C15" s="265" t="s">
        <v>196</v>
      </c>
      <c r="D15" s="3" t="s">
        <v>61</v>
      </c>
      <c r="E15" s="75"/>
      <c r="F15" s="197" t="s">
        <v>76</v>
      </c>
      <c r="G15" s="198"/>
      <c r="H15" s="75"/>
      <c r="I15" s="185" t="s">
        <v>107</v>
      </c>
      <c r="J15" s="186"/>
      <c r="K15" s="187">
        <v>1</v>
      </c>
      <c r="L15" s="75"/>
      <c r="M15" s="269"/>
      <c r="N15" s="269"/>
      <c r="O15" s="75"/>
      <c r="P15" s="269"/>
      <c r="Q15" s="269"/>
      <c r="R15" s="75"/>
      <c r="S15" s="274"/>
    </row>
    <row r="16" spans="2:29" ht="19.5" customHeight="1">
      <c r="B16" s="273"/>
      <c r="C16" s="17" t="s">
        <v>19</v>
      </c>
      <c r="D16" s="3" t="s">
        <v>62</v>
      </c>
      <c r="E16" s="75"/>
      <c r="F16" s="20" t="s">
        <v>191</v>
      </c>
      <c r="G16" s="189">
        <v>71</v>
      </c>
      <c r="H16" s="75"/>
      <c r="I16" s="182" t="s">
        <v>110</v>
      </c>
      <c r="J16" s="183"/>
      <c r="K16" s="190" t="str">
        <f>RIGHT(Tahun_Pelajaran,2)</f>
        <v>22</v>
      </c>
      <c r="L16" s="75"/>
      <c r="M16" s="269"/>
      <c r="N16" s="269"/>
      <c r="O16" s="75"/>
      <c r="P16" s="269"/>
      <c r="Q16" s="269"/>
      <c r="R16" s="75"/>
      <c r="S16" s="274"/>
    </row>
    <row r="17" spans="2:19" ht="19.5" customHeight="1">
      <c r="B17" s="273"/>
      <c r="C17" s="17" t="s">
        <v>241</v>
      </c>
      <c r="D17" s="3" t="s">
        <v>242</v>
      </c>
      <c r="E17" s="75"/>
      <c r="F17" s="20"/>
      <c r="G17" s="189"/>
      <c r="H17" s="75"/>
      <c r="I17" s="267" t="s">
        <v>21</v>
      </c>
      <c r="J17" s="184"/>
      <c r="K17" s="14" t="s">
        <v>58</v>
      </c>
      <c r="L17" s="75"/>
      <c r="M17" s="269"/>
      <c r="N17" s="269"/>
      <c r="O17" s="75"/>
      <c r="P17" s="269"/>
      <c r="Q17" s="269"/>
      <c r="R17" s="75"/>
      <c r="S17" s="274"/>
    </row>
    <row r="18" spans="2:19" ht="19.5" customHeight="1">
      <c r="B18" s="273"/>
      <c r="C18" s="265" t="s">
        <v>20</v>
      </c>
      <c r="D18" s="3" t="s">
        <v>63</v>
      </c>
      <c r="E18" s="75"/>
      <c r="F18" s="20"/>
      <c r="G18" s="189"/>
      <c r="H18" s="75"/>
      <c r="I18" s="267" t="s">
        <v>136</v>
      </c>
      <c r="J18" s="268"/>
      <c r="K18" s="181" t="s">
        <v>59</v>
      </c>
      <c r="L18" s="75"/>
      <c r="M18" s="269"/>
      <c r="N18" s="269"/>
      <c r="O18" s="75"/>
      <c r="P18" s="269"/>
      <c r="Q18" s="269"/>
      <c r="R18" s="75"/>
      <c r="S18" s="274"/>
    </row>
    <row r="19" spans="2:19" ht="19.5" customHeight="1">
      <c r="B19" s="273"/>
      <c r="C19" s="17" t="s">
        <v>21</v>
      </c>
      <c r="D19" s="3" t="s">
        <v>22</v>
      </c>
      <c r="E19" s="75"/>
      <c r="F19" s="75"/>
      <c r="G19" s="75"/>
      <c r="H19" s="75"/>
      <c r="I19" s="267" t="s">
        <v>30</v>
      </c>
      <c r="J19" s="268"/>
      <c r="K19" s="180" t="s">
        <v>169</v>
      </c>
      <c r="L19" s="75"/>
      <c r="M19" s="269"/>
      <c r="N19" s="269"/>
      <c r="O19" s="75"/>
      <c r="P19" s="269"/>
      <c r="Q19" s="269"/>
      <c r="R19" s="75"/>
      <c r="S19" s="274"/>
    </row>
    <row r="20" spans="2:19" ht="19.5" customHeight="1">
      <c r="B20" s="273"/>
      <c r="C20" s="18" t="s">
        <v>23</v>
      </c>
      <c r="D20" s="3" t="s">
        <v>64</v>
      </c>
      <c r="E20" s="75"/>
      <c r="F20" s="75"/>
      <c r="G20" s="75"/>
      <c r="H20" s="75"/>
      <c r="I20" s="267" t="s">
        <v>108</v>
      </c>
      <c r="J20" s="268"/>
      <c r="K20" s="216" t="s">
        <v>257</v>
      </c>
      <c r="L20" s="75"/>
      <c r="M20" s="269"/>
      <c r="N20" s="269"/>
      <c r="O20" s="75"/>
      <c r="P20" s="269"/>
      <c r="Q20" s="269"/>
      <c r="R20" s="75"/>
      <c r="S20" s="274"/>
    </row>
    <row r="21" spans="2:19" ht="19.5" customHeight="1">
      <c r="B21" s="273"/>
      <c r="C21" s="17" t="s">
        <v>24</v>
      </c>
      <c r="D21" s="3"/>
      <c r="E21" s="75"/>
      <c r="F21" s="75"/>
      <c r="G21" s="75"/>
      <c r="H21" s="75"/>
      <c r="I21" s="267" t="s">
        <v>109</v>
      </c>
      <c r="J21" s="268"/>
      <c r="K21" s="282">
        <v>8</v>
      </c>
      <c r="L21" s="75"/>
      <c r="M21" s="269"/>
      <c r="N21" s="269"/>
      <c r="O21" s="75"/>
      <c r="P21" s="269"/>
      <c r="Q21" s="269"/>
      <c r="R21" s="75"/>
      <c r="S21" s="274"/>
    </row>
    <row r="22" spans="2:19" ht="19.5" customHeight="1">
      <c r="B22" s="273"/>
      <c r="C22" s="17" t="s">
        <v>243</v>
      </c>
      <c r="D22" s="3"/>
      <c r="E22" s="75"/>
      <c r="F22" s="75"/>
      <c r="G22" s="75"/>
      <c r="H22" s="75"/>
      <c r="I22" s="269"/>
      <c r="J22" s="269"/>
      <c r="K22" s="269"/>
      <c r="L22" s="75"/>
      <c r="M22" s="269"/>
      <c r="N22" s="269"/>
      <c r="O22" s="75"/>
      <c r="P22" s="269"/>
      <c r="Q22" s="269"/>
      <c r="R22" s="75"/>
      <c r="S22" s="274"/>
    </row>
    <row r="23" spans="2:19" ht="19.5" customHeight="1">
      <c r="B23" s="273"/>
      <c r="C23" s="18" t="s">
        <v>25</v>
      </c>
      <c r="D23" s="3"/>
      <c r="E23" s="75"/>
      <c r="F23" s="75"/>
      <c r="G23" s="75"/>
      <c r="H23" s="75"/>
      <c r="I23" s="269"/>
      <c r="J23" s="269"/>
      <c r="K23" s="269"/>
      <c r="L23" s="75"/>
      <c r="M23" s="269"/>
      <c r="N23" s="269"/>
      <c r="O23" s="75"/>
      <c r="P23" s="269"/>
      <c r="Q23" s="269"/>
      <c r="R23" s="75"/>
      <c r="S23" s="274"/>
    </row>
    <row r="24" spans="2:19" ht="19.5" customHeight="1">
      <c r="B24" s="273"/>
      <c r="C24" s="17" t="s">
        <v>185</v>
      </c>
      <c r="D24" s="148">
        <v>44727</v>
      </c>
      <c r="E24" s="75"/>
      <c r="F24" s="75"/>
      <c r="G24" s="75"/>
      <c r="H24" s="75"/>
      <c r="I24" s="269"/>
      <c r="J24" s="269"/>
      <c r="K24" s="269"/>
      <c r="L24" s="75"/>
      <c r="M24" s="269"/>
      <c r="N24" s="269"/>
      <c r="O24" s="75"/>
      <c r="P24" s="269"/>
      <c r="Q24" s="269"/>
      <c r="R24" s="75"/>
      <c r="S24" s="274"/>
    </row>
    <row r="25" spans="2:19" ht="19.5" customHeight="1">
      <c r="B25" s="273"/>
      <c r="C25" s="17" t="s">
        <v>186</v>
      </c>
      <c r="D25" s="148">
        <v>44728</v>
      </c>
      <c r="E25" s="75"/>
      <c r="F25" s="75"/>
      <c r="G25" s="75"/>
      <c r="H25" s="75"/>
      <c r="I25" s="269"/>
      <c r="J25" s="269"/>
      <c r="K25" s="269"/>
      <c r="L25" s="75"/>
      <c r="M25" s="269"/>
      <c r="N25" s="269"/>
      <c r="O25" s="75"/>
      <c r="P25" s="269"/>
      <c r="Q25" s="269"/>
      <c r="R25" s="75"/>
      <c r="S25" s="274"/>
    </row>
    <row r="26" spans="2:19" ht="19.5" customHeight="1">
      <c r="B26" s="273"/>
      <c r="C26" s="202" t="s">
        <v>216</v>
      </c>
      <c r="D26" s="201"/>
      <c r="E26" s="75"/>
      <c r="F26" s="75"/>
      <c r="G26" s="75"/>
      <c r="H26" s="75"/>
      <c r="I26" s="269"/>
      <c r="J26" s="269"/>
      <c r="K26" s="269"/>
      <c r="L26" s="75"/>
      <c r="M26" s="269"/>
      <c r="N26" s="269"/>
      <c r="O26" s="75"/>
      <c r="P26" s="269"/>
      <c r="Q26" s="269"/>
      <c r="R26" s="75"/>
      <c r="S26" s="274"/>
    </row>
    <row r="27" spans="2:19">
      <c r="B27" s="273"/>
      <c r="C27" s="17" t="s">
        <v>187</v>
      </c>
      <c r="D27" s="3" t="s">
        <v>276</v>
      </c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274"/>
    </row>
    <row r="28" spans="2:19">
      <c r="B28" s="273"/>
      <c r="C28" s="17" t="s">
        <v>188</v>
      </c>
      <c r="D28" s="3" t="s">
        <v>277</v>
      </c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274"/>
    </row>
    <row r="29" spans="2:19" ht="51.75" customHeight="1" thickBot="1">
      <c r="B29" s="275"/>
      <c r="C29" s="277" t="s">
        <v>206</v>
      </c>
      <c r="D29" s="278"/>
      <c r="E29" s="278"/>
      <c r="F29" s="278"/>
      <c r="G29" s="276"/>
      <c r="H29" s="276"/>
      <c r="I29" s="276"/>
      <c r="J29" s="276"/>
      <c r="K29" s="276"/>
      <c r="L29" s="276"/>
      <c r="M29" s="276"/>
      <c r="N29" s="276"/>
      <c r="O29" s="276"/>
      <c r="P29" s="279"/>
      <c r="Q29" s="276"/>
      <c r="R29" s="293" t="s">
        <v>283</v>
      </c>
      <c r="S29" s="280"/>
    </row>
    <row r="31" spans="2:19"/>
    <row r="32" spans="2:19"/>
    <row r="33"/>
    <row r="34"/>
    <row r="35"/>
    <row r="36"/>
  </sheetData>
  <sheetProtection password="CC5B" sheet="1" objects="1" scenarios="1" selectLockedCells="1"/>
  <mergeCells count="2">
    <mergeCell ref="I11:J11"/>
    <mergeCell ref="D2:R2"/>
  </mergeCells>
  <dataValidations count="9">
    <dataValidation type="list" allowBlank="1" showInputMessage="1" showErrorMessage="1" prompt="Pilih !" sqref="C18">
      <formula1>"Kabupaten,Kota"</formula1>
    </dataValidation>
    <dataValidation type="list" allowBlank="1" showInputMessage="1" showErrorMessage="1" prompt="Pilih !" sqref="C15">
      <formula1>"Desa,Kelurahan"</formula1>
    </dataValidation>
    <dataValidation allowBlank="1" showInputMessage="1" showErrorMessage="1" prompt="Pilih Kelurahan atau Desa pada cell merah di samping !" sqref="D15"/>
    <dataValidation type="list" allowBlank="1" showInputMessage="1" showErrorMessage="1" sqref="D22">
      <formula1>$AC$6:$AC$12</formula1>
    </dataValidation>
    <dataValidation type="list" allowBlank="1" showInputMessage="1" showErrorMessage="1" prompt="Pilih !" sqref="K11">
      <formula1>$X$5:$X$6</formula1>
    </dataValidation>
    <dataValidation type="list" allowBlank="1" showInputMessage="1" showErrorMessage="1" prompt="Pilih !" sqref="K9:K10">
      <formula1>$U$5:$U$7</formula1>
    </dataValidation>
    <dataValidation type="list" allowBlank="1" showInputMessage="1" showErrorMessage="1" sqref="K5">
      <formula1>$W$5:$W$6</formula1>
    </dataValidation>
    <dataValidation type="list" allowBlank="1" showInputMessage="1" showErrorMessage="1" prompt="Pilih !" sqref="D6">
      <formula1>$W$10:$W$11</formula1>
    </dataValidation>
    <dataValidation allowBlank="1" showInputMessage="1" showErrorMessage="1" prompt="Tulis Nama Sekolah saja, tanpa SD atau MI..._x000a__x000a_Cth: Negeri 1 Giriharjo" sqref="D7"/>
  </dataValidations>
  <hyperlinks>
    <hyperlink ref="D14" r:id="rId1"/>
  </hyperlinks>
  <pageMargins left="0.31496062992125984" right="0.19685039370078741" top="0.74803149606299213" bottom="0.74803149606299213" header="0.31496062992125984" footer="0.31496062992125984"/>
  <pageSetup paperSize="141" scale="79" orientation="landscape" horizontalDpi="4294967293" verticalDpi="4294967293" r:id="rId2"/>
  <drawing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AA70"/>
  <sheetViews>
    <sheetView showGridLines="0" topLeftCell="A2" zoomScale="90" zoomScaleNormal="90" workbookViewId="0">
      <selection activeCell="G9" sqref="G9"/>
    </sheetView>
  </sheetViews>
  <sheetFormatPr defaultColWidth="0" defaultRowHeight="14.5"/>
  <cols>
    <col min="1" max="1" width="3.7265625" style="1" customWidth="1"/>
    <col min="2" max="2" width="5.26953125" style="1" customWidth="1"/>
    <col min="3" max="3" width="10.54296875" style="1" customWidth="1"/>
    <col min="4" max="4" width="12.81640625" style="1" customWidth="1"/>
    <col min="5" max="5" width="38.26953125" style="1" customWidth="1"/>
    <col min="6" max="10" width="11.81640625" style="1" customWidth="1"/>
    <col min="11" max="11" width="12" style="1" bestFit="1" customWidth="1"/>
    <col min="12" max="12" width="14.1796875" style="1" customWidth="1"/>
    <col min="13" max="13" width="2.81640625" style="1" customWidth="1"/>
    <col min="14" max="14" width="8.81640625" style="1" customWidth="1"/>
    <col min="15" max="15" width="3.26953125" style="1" customWidth="1"/>
    <col min="16" max="16" width="12.36328125" style="1" customWidth="1"/>
    <col min="17" max="17" width="21.81640625" style="1" bestFit="1" customWidth="1"/>
    <col min="18" max="18" width="8.6328125" style="1" hidden="1" customWidth="1"/>
    <col min="19" max="24" width="9.1796875" style="1" hidden="1" customWidth="1"/>
    <col min="25" max="25" width="21.453125" style="1" hidden="1" customWidth="1"/>
    <col min="26" max="16384" width="9.1796875" style="1" hidden="1"/>
  </cols>
  <sheetData>
    <row r="1" spans="2:27" ht="20">
      <c r="B1" s="447" t="s">
        <v>233</v>
      </c>
      <c r="C1" s="447"/>
      <c r="D1" s="447"/>
      <c r="E1" s="447"/>
      <c r="F1" s="447"/>
      <c r="G1" s="447"/>
      <c r="H1" s="447"/>
      <c r="I1" s="447"/>
      <c r="J1" s="447"/>
      <c r="K1" s="447"/>
      <c r="L1" s="283"/>
    </row>
    <row r="2" spans="2:27" ht="15" customHeight="1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27" ht="15" customHeight="1">
      <c r="D3" s="27" t="s">
        <v>13</v>
      </c>
      <c r="E3" s="28" t="str">
        <f>UPPER(Nama_Sekolah)</f>
        <v>SEKOLAH DASAR NEGERI 1 GIRIHARJO</v>
      </c>
      <c r="F3" s="213"/>
      <c r="G3" s="484" t="s">
        <v>272</v>
      </c>
      <c r="H3" s="484"/>
      <c r="I3" s="484"/>
      <c r="K3" s="376" t="s">
        <v>258</v>
      </c>
    </row>
    <row r="4" spans="2:27">
      <c r="D4" s="27" t="s">
        <v>14</v>
      </c>
      <c r="E4" s="28" t="str">
        <f>NPSN</f>
        <v>20311583</v>
      </c>
      <c r="F4" s="213"/>
      <c r="G4" s="407" t="s">
        <v>265</v>
      </c>
      <c r="H4" s="485" t="s">
        <v>267</v>
      </c>
      <c r="I4" s="485"/>
      <c r="K4" s="381">
        <v>0.5</v>
      </c>
    </row>
    <row r="5" spans="2:27">
      <c r="D5" s="27" t="s">
        <v>68</v>
      </c>
      <c r="E5" s="28" t="str">
        <f>Kecamatan&amp;", "&amp;Kabupaten&amp;", "&amp;Provinsi</f>
        <v>Puhpelem, Wonogiri, Jawa Tengah</v>
      </c>
      <c r="F5" s="213"/>
      <c r="G5" s="407" t="s">
        <v>264</v>
      </c>
      <c r="H5" s="485" t="s">
        <v>267</v>
      </c>
      <c r="I5" s="485"/>
    </row>
    <row r="6" spans="2:27">
      <c r="E6" s="21"/>
      <c r="F6" s="22"/>
    </row>
    <row r="7" spans="2:27">
      <c r="B7" s="478" t="s">
        <v>7</v>
      </c>
      <c r="C7" s="478" t="s">
        <v>43</v>
      </c>
      <c r="D7" s="478" t="s">
        <v>40</v>
      </c>
      <c r="E7" s="478" t="s">
        <v>8</v>
      </c>
      <c r="F7" s="482" t="s">
        <v>222</v>
      </c>
      <c r="G7" s="483"/>
      <c r="H7" s="482" t="s">
        <v>225</v>
      </c>
      <c r="I7" s="483"/>
      <c r="J7" s="368" t="s">
        <v>226</v>
      </c>
      <c r="K7" s="480" t="s">
        <v>9</v>
      </c>
      <c r="L7" s="366" t="s">
        <v>126</v>
      </c>
      <c r="N7" s="286" t="s">
        <v>71</v>
      </c>
    </row>
    <row r="8" spans="2:27">
      <c r="B8" s="479"/>
      <c r="C8" s="479"/>
      <c r="D8" s="479"/>
      <c r="E8" s="479"/>
      <c r="F8" s="406" t="s">
        <v>223</v>
      </c>
      <c r="G8" s="406" t="s">
        <v>224</v>
      </c>
      <c r="H8" s="406" t="s">
        <v>223</v>
      </c>
      <c r="I8" s="406" t="s">
        <v>224</v>
      </c>
      <c r="J8" s="406" t="s">
        <v>223</v>
      </c>
      <c r="K8" s="481"/>
      <c r="L8" s="367" t="s">
        <v>254</v>
      </c>
      <c r="N8" s="285" t="s">
        <v>176</v>
      </c>
      <c r="T8" s="477" t="s">
        <v>256</v>
      </c>
      <c r="U8" s="477"/>
      <c r="Y8" s="215" t="s">
        <v>270</v>
      </c>
      <c r="Z8" s="2">
        <v>0</v>
      </c>
      <c r="AA8" s="2">
        <f>VLOOKUP(H4,$Y$8:$Z$12,2,0)</f>
        <v>2</v>
      </c>
    </row>
    <row r="9" spans="2:27">
      <c r="B9" s="232">
        <v>1</v>
      </c>
      <c r="C9" s="232" t="str">
        <f>'Data Siswa'!C4&amp;""</f>
        <v>2887</v>
      </c>
      <c r="D9" s="232" t="str">
        <f>'Data Siswa'!D4&amp;""</f>
        <v/>
      </c>
      <c r="E9" s="233" t="str">
        <f>'Data Siswa'!F4&amp;""</f>
        <v/>
      </c>
      <c r="F9" s="401">
        <f>IFERROR(ROUND('KL IV SMT 1'!AP10,$AA$8),"")</f>
        <v>86</v>
      </c>
      <c r="G9" s="401">
        <f>IFERROR(ROUND('KL IV SMT 2'!AP10,$AA$8),"")</f>
        <v>88</v>
      </c>
      <c r="H9" s="401">
        <f>IFERROR(ROUND('KL V SMT 1'!AP10,$AA$8),"")</f>
        <v>84.72</v>
      </c>
      <c r="I9" s="401">
        <f>IFERROR(ROUND('KL V SMT 2'!AP10,$AA$8),"")</f>
        <v>82.72</v>
      </c>
      <c r="J9" s="401">
        <f>IFERROR(ROUND('KL VI SMT 1'!AP10,$AA$8),"")</f>
        <v>86.33</v>
      </c>
      <c r="K9" s="411">
        <f>IF(SUM(F9,G9,H9,I9,J9)=0,"",ROUND(SUM(F9,G9,H9,I9,J9),$AA$9))</f>
        <v>427.77</v>
      </c>
      <c r="L9" s="370">
        <f>IF(U9="","",U9)</f>
        <v>5</v>
      </c>
      <c r="M9" s="19"/>
      <c r="N9" s="35" t="str">
        <f t="shared" ref="N9:N40" si="0">IF(E9="","Kosong","Data")</f>
        <v>Kosong</v>
      </c>
      <c r="T9" s="2">
        <v>1</v>
      </c>
      <c r="U9" s="2">
        <f>IF(IFERROR(RANK(K9,$K$9:$K$58,0),"")&gt;'Data Siswa'!$C$54*$K$4,"",IFERROR(RANK(K9,$K$9:$K$58,0),""))</f>
        <v>5</v>
      </c>
      <c r="W9" s="380">
        <v>1</v>
      </c>
      <c r="Y9" s="215" t="s">
        <v>266</v>
      </c>
      <c r="Z9" s="2">
        <v>1</v>
      </c>
      <c r="AA9" s="2">
        <f>VLOOKUP(H5,$Y$8:$Z$12,2,0)</f>
        <v>2</v>
      </c>
    </row>
    <row r="10" spans="2:27">
      <c r="B10" s="236">
        <v>2</v>
      </c>
      <c r="C10" s="236" t="str">
        <f>'Data Siswa'!C5&amp;""</f>
        <v>2888</v>
      </c>
      <c r="D10" s="232" t="str">
        <f>'Data Siswa'!D5&amp;""</f>
        <v/>
      </c>
      <c r="E10" s="237" t="str">
        <f>'Data Siswa'!F5&amp;""</f>
        <v/>
      </c>
      <c r="F10" s="401">
        <f>IFERROR(ROUND('KL IV SMT 1'!AP11,$AA$8),"")</f>
        <v>73.78</v>
      </c>
      <c r="G10" s="401">
        <f>IFERROR(ROUND('KL IV SMT 2'!AP11,$AA$8),"")</f>
        <v>72.89</v>
      </c>
      <c r="H10" s="401">
        <f>IFERROR(ROUND('KL V SMT 1'!AP11,$AA$8),"")</f>
        <v>74.39</v>
      </c>
      <c r="I10" s="401">
        <f>IFERROR(ROUND('KL V SMT 2'!AP11,$AA$8),"")</f>
        <v>86.44</v>
      </c>
      <c r="J10" s="401">
        <f>IFERROR(ROUND('KL VI SMT 1'!AP11,$AA$8),"")</f>
        <v>79.28</v>
      </c>
      <c r="K10" s="411">
        <f t="shared" ref="K10:K58" si="1">IF(SUM(F10,G10,H10,I10,J10)=0,"",ROUND(SUM(F10,G10,H10,I10,J10),$AA$9))</f>
        <v>386.78</v>
      </c>
      <c r="L10" s="370" t="str">
        <f t="shared" ref="L10:L58" si="2">IF(U10="","",U10)</f>
        <v/>
      </c>
      <c r="N10" s="35" t="str">
        <f t="shared" si="0"/>
        <v>Kosong</v>
      </c>
      <c r="T10" s="2">
        <v>2</v>
      </c>
      <c r="U10" s="2" t="str">
        <f>IF(IFERROR(RANK(K10,$K$9:$K$58,0),"")&gt;'Data Siswa'!$C$54*$K$4,"",IFERROR(RANK(K10,$K$9:$K$58,0),""))</f>
        <v/>
      </c>
      <c r="W10" s="380">
        <v>0.95</v>
      </c>
      <c r="Y10" s="215" t="s">
        <v>267</v>
      </c>
      <c r="Z10" s="2">
        <v>2</v>
      </c>
    </row>
    <row r="11" spans="2:27">
      <c r="B11" s="236">
        <v>3</v>
      </c>
      <c r="C11" s="236" t="str">
        <f>'Data Siswa'!C6&amp;""</f>
        <v>2886</v>
      </c>
      <c r="D11" s="232" t="str">
        <f>'Data Siswa'!D6&amp;""</f>
        <v/>
      </c>
      <c r="E11" s="237" t="str">
        <f>'Data Siswa'!F6&amp;""</f>
        <v/>
      </c>
      <c r="F11" s="401">
        <f>IFERROR(ROUND('KL IV SMT 1'!AP12,$AA$8),"")</f>
        <v>77.06</v>
      </c>
      <c r="G11" s="401">
        <f>IFERROR(ROUND('KL IV SMT 2'!AP12,$AA$8),"")</f>
        <v>78.11</v>
      </c>
      <c r="H11" s="401">
        <f>IFERROR(ROUND('KL V SMT 1'!AP12,$AA$8),"")</f>
        <v>81.33</v>
      </c>
      <c r="I11" s="401">
        <f>IFERROR(ROUND('KL V SMT 2'!AP12,$AA$8),"")</f>
        <v>78.39</v>
      </c>
      <c r="J11" s="401">
        <f>IFERROR(ROUND('KL VI SMT 1'!AP12,$AA$8),"")</f>
        <v>84.06</v>
      </c>
      <c r="K11" s="411">
        <f t="shared" si="1"/>
        <v>398.95</v>
      </c>
      <c r="L11" s="370" t="str">
        <f t="shared" si="2"/>
        <v/>
      </c>
      <c r="N11" s="35" t="str">
        <f t="shared" si="0"/>
        <v>Kosong</v>
      </c>
      <c r="T11" s="2">
        <v>3</v>
      </c>
      <c r="U11" s="2" t="str">
        <f>IF(IFERROR(RANK(K11,$K$9:$K$58,0),"")&gt;'Data Siswa'!$C$54*$K$4,"",IFERROR(RANK(K11,$K$9:$K$58,0),""))</f>
        <v/>
      </c>
      <c r="W11" s="380">
        <v>0.9</v>
      </c>
      <c r="Y11" s="215" t="s">
        <v>268</v>
      </c>
      <c r="Z11" s="2">
        <v>3</v>
      </c>
    </row>
    <row r="12" spans="2:27">
      <c r="B12" s="236">
        <v>4</v>
      </c>
      <c r="C12" s="236" t="str">
        <f>'Data Siswa'!C7&amp;""</f>
        <v>2864</v>
      </c>
      <c r="D12" s="232" t="str">
        <f>'Data Siswa'!D7&amp;""</f>
        <v/>
      </c>
      <c r="E12" s="237" t="str">
        <f>'Data Siswa'!F7&amp;""</f>
        <v/>
      </c>
      <c r="F12" s="401">
        <f>IFERROR(ROUND('KL IV SMT 1'!AP13,$AA$8),"")</f>
        <v>73.61</v>
      </c>
      <c r="G12" s="401">
        <f>IFERROR(ROUND('KL IV SMT 2'!AP13,$AA$8),"")</f>
        <v>71.83</v>
      </c>
      <c r="H12" s="401">
        <f>IFERROR(ROUND('KL V SMT 1'!AP13,$AA$8),"")</f>
        <v>78.78</v>
      </c>
      <c r="I12" s="401">
        <f>IFERROR(ROUND('KL V SMT 2'!AP13,$AA$8),"")</f>
        <v>83.94</v>
      </c>
      <c r="J12" s="401">
        <f>IFERROR(ROUND('KL VI SMT 1'!AP13,$AA$8),"")</f>
        <v>80.06</v>
      </c>
      <c r="K12" s="411">
        <f t="shared" si="1"/>
        <v>388.22</v>
      </c>
      <c r="L12" s="370" t="str">
        <f t="shared" si="2"/>
        <v/>
      </c>
      <c r="N12" s="35" t="str">
        <f t="shared" si="0"/>
        <v>Kosong</v>
      </c>
      <c r="T12" s="2">
        <v>4</v>
      </c>
      <c r="U12" s="2" t="str">
        <f>IF(IFERROR(RANK(K12,$K$9:$K$58,0),"")&gt;'Data Siswa'!$C$54*$K$4,"",IFERROR(RANK(K12,$K$9:$K$58,0),""))</f>
        <v/>
      </c>
      <c r="W12" s="380">
        <v>0.85</v>
      </c>
      <c r="Y12" s="215" t="s">
        <v>269</v>
      </c>
      <c r="Z12" s="2">
        <v>100</v>
      </c>
    </row>
    <row r="13" spans="2:27">
      <c r="B13" s="236">
        <v>5</v>
      </c>
      <c r="C13" s="236" t="str">
        <f>'Data Siswa'!C8&amp;""</f>
        <v>2890</v>
      </c>
      <c r="D13" s="232" t="str">
        <f>'Data Siswa'!D8&amp;""</f>
        <v/>
      </c>
      <c r="E13" s="237" t="str">
        <f>'Data Siswa'!F8&amp;""</f>
        <v/>
      </c>
      <c r="F13" s="401">
        <f>IFERROR(ROUND('KL IV SMT 1'!AP14,$AA$8),"")</f>
        <v>75.89</v>
      </c>
      <c r="G13" s="401">
        <f>IFERROR(ROUND('KL IV SMT 2'!AP14,$AA$8),"")</f>
        <v>76</v>
      </c>
      <c r="H13" s="401">
        <f>IFERROR(ROUND('KL V SMT 1'!AP14,$AA$8),"")</f>
        <v>84.06</v>
      </c>
      <c r="I13" s="401">
        <f>IFERROR(ROUND('KL V SMT 2'!AP14,$AA$8),"")</f>
        <v>86</v>
      </c>
      <c r="J13" s="401">
        <f>IFERROR(ROUND('KL VI SMT 1'!AP14,$AA$8),"")</f>
        <v>81.61</v>
      </c>
      <c r="K13" s="411">
        <f t="shared" si="1"/>
        <v>403.56</v>
      </c>
      <c r="L13" s="370" t="str">
        <f t="shared" si="2"/>
        <v/>
      </c>
      <c r="N13" s="35" t="str">
        <f t="shared" si="0"/>
        <v>Kosong</v>
      </c>
      <c r="T13" s="2">
        <v>5</v>
      </c>
      <c r="U13" s="2" t="str">
        <f>IF(IFERROR(RANK(K13,$K$9:$K$58,0),"")&gt;'Data Siswa'!$C$54*$K$4,"",IFERROR(RANK(K13,$K$9:$K$58,0),""))</f>
        <v/>
      </c>
      <c r="W13" s="380">
        <v>0.8</v>
      </c>
    </row>
    <row r="14" spans="2:27">
      <c r="B14" s="236">
        <v>6</v>
      </c>
      <c r="C14" s="236" t="str">
        <f>'Data Siswa'!C9&amp;""</f>
        <v>2889</v>
      </c>
      <c r="D14" s="232" t="str">
        <f>'Data Siswa'!D9&amp;""</f>
        <v/>
      </c>
      <c r="E14" s="237" t="str">
        <f>'Data Siswa'!F9&amp;""</f>
        <v/>
      </c>
      <c r="F14" s="401">
        <f>IFERROR(ROUND('KL IV SMT 1'!AP15,$AA$8),"")</f>
        <v>76.06</v>
      </c>
      <c r="G14" s="401">
        <f>IFERROR(ROUND('KL IV SMT 2'!AP15,$AA$8),"")</f>
        <v>76.33</v>
      </c>
      <c r="H14" s="401">
        <f>IFERROR(ROUND('KL V SMT 1'!AP15,$AA$8),"")</f>
        <v>82.39</v>
      </c>
      <c r="I14" s="401">
        <f>IFERROR(ROUND('KL V SMT 2'!AP15,$AA$8),"")</f>
        <v>84.5</v>
      </c>
      <c r="J14" s="401">
        <f>IFERROR(ROUND('KL VI SMT 1'!AP15,$AA$8),"")</f>
        <v>81.44</v>
      </c>
      <c r="K14" s="411">
        <f t="shared" si="1"/>
        <v>400.72</v>
      </c>
      <c r="L14" s="370" t="str">
        <f t="shared" si="2"/>
        <v/>
      </c>
      <c r="N14" s="35" t="str">
        <f t="shared" si="0"/>
        <v>Kosong</v>
      </c>
      <c r="T14" s="2">
        <v>6</v>
      </c>
      <c r="U14" s="2" t="str">
        <f>IF(IFERROR(RANK(K14,$K$9:$K$58,0),"")&gt;'Data Siswa'!$C$54*$K$4,"",IFERROR(RANK(K14,$K$9:$K$58,0),""))</f>
        <v/>
      </c>
      <c r="W14" s="380">
        <v>0.75</v>
      </c>
    </row>
    <row r="15" spans="2:27">
      <c r="B15" s="236">
        <v>7</v>
      </c>
      <c r="C15" s="236" t="str">
        <f>'Data Siswa'!C10&amp;""</f>
        <v>2891</v>
      </c>
      <c r="D15" s="232" t="str">
        <f>'Data Siswa'!D10&amp;""</f>
        <v/>
      </c>
      <c r="E15" s="237" t="str">
        <f>'Data Siswa'!F10&amp;""</f>
        <v/>
      </c>
      <c r="F15" s="401">
        <f>IFERROR(ROUND('KL IV SMT 1'!AP16,$AA$8),"")</f>
        <v>84.39</v>
      </c>
      <c r="G15" s="401">
        <f>IFERROR(ROUND('KL IV SMT 2'!AP16,$AA$8),"")</f>
        <v>83.11</v>
      </c>
      <c r="H15" s="401">
        <f>IFERROR(ROUND('KL V SMT 1'!AP16,$AA$8),"")</f>
        <v>81.67</v>
      </c>
      <c r="I15" s="401">
        <f>IFERROR(ROUND('KL V SMT 2'!AP16,$AA$8),"")</f>
        <v>86.11</v>
      </c>
      <c r="J15" s="401">
        <f>IFERROR(ROUND('KL VI SMT 1'!AP16,$AA$8),"")</f>
        <v>84.78</v>
      </c>
      <c r="K15" s="411">
        <f t="shared" si="1"/>
        <v>420.06</v>
      </c>
      <c r="L15" s="370">
        <f t="shared" si="2"/>
        <v>7</v>
      </c>
      <c r="N15" s="35" t="str">
        <f t="shared" si="0"/>
        <v>Kosong</v>
      </c>
      <c r="T15" s="2">
        <v>7</v>
      </c>
      <c r="U15" s="2">
        <f>IF(IFERROR(RANK(K15,$K$9:$K$58,0),"")&gt;'Data Siswa'!$C$54*$K$4,"",IFERROR(RANK(K15,$K$9:$K$58,0),""))</f>
        <v>7</v>
      </c>
      <c r="W15" s="380">
        <v>0.7</v>
      </c>
    </row>
    <row r="16" spans="2:27">
      <c r="B16" s="236">
        <v>8</v>
      </c>
      <c r="C16" s="236" t="str">
        <f>'Data Siswa'!C11&amp;""</f>
        <v>2893</v>
      </c>
      <c r="D16" s="232" t="str">
        <f>'Data Siswa'!D11&amp;""</f>
        <v/>
      </c>
      <c r="E16" s="237" t="str">
        <f>'Data Siswa'!F11&amp;""</f>
        <v/>
      </c>
      <c r="F16" s="401">
        <f>IFERROR(ROUND('KL IV SMT 1'!AP17,$AA$8),"")</f>
        <v>74.94</v>
      </c>
      <c r="G16" s="401">
        <f>IFERROR(ROUND('KL IV SMT 2'!AP17,$AA$8),"")</f>
        <v>76.61</v>
      </c>
      <c r="H16" s="401">
        <f>IFERROR(ROUND('KL V SMT 1'!AP17,$AA$8),"")</f>
        <v>84.39</v>
      </c>
      <c r="I16" s="401">
        <f>IFERROR(ROUND('KL V SMT 2'!AP17,$AA$8),"")</f>
        <v>85.67</v>
      </c>
      <c r="J16" s="401">
        <f>IFERROR(ROUND('KL VI SMT 1'!AP17,$AA$8),"")</f>
        <v>82.89</v>
      </c>
      <c r="K16" s="411">
        <f t="shared" si="1"/>
        <v>404.5</v>
      </c>
      <c r="L16" s="370" t="str">
        <f t="shared" si="2"/>
        <v/>
      </c>
      <c r="N16" s="35" t="str">
        <f t="shared" si="0"/>
        <v>Kosong</v>
      </c>
      <c r="T16" s="2">
        <v>8</v>
      </c>
      <c r="U16" s="2" t="str">
        <f>IF(IFERROR(RANK(K16,$K$9:$K$58,0),"")&gt;'Data Siswa'!$C$54*$K$4,"",IFERROR(RANK(K16,$K$9:$K$58,0),""))</f>
        <v/>
      </c>
      <c r="W16" s="380">
        <v>0.65</v>
      </c>
    </row>
    <row r="17" spans="2:23">
      <c r="B17" s="236">
        <v>9</v>
      </c>
      <c r="C17" s="236" t="str">
        <f>'Data Siswa'!C12&amp;""</f>
        <v>2892</v>
      </c>
      <c r="D17" s="232" t="str">
        <f>'Data Siswa'!D12&amp;""</f>
        <v/>
      </c>
      <c r="E17" s="237" t="str">
        <f>'Data Siswa'!F12&amp;""</f>
        <v/>
      </c>
      <c r="F17" s="401">
        <f>IFERROR(ROUND('KL IV SMT 1'!AP18,$AA$8),"")</f>
        <v>87.33</v>
      </c>
      <c r="G17" s="401">
        <f>IFERROR(ROUND('KL IV SMT 2'!AP18,$AA$8),"")</f>
        <v>90.28</v>
      </c>
      <c r="H17" s="401">
        <f>IFERROR(ROUND('KL V SMT 1'!AP18,$AA$8),"")</f>
        <v>87.11</v>
      </c>
      <c r="I17" s="401">
        <f>IFERROR(ROUND('KL V SMT 2'!AP18,$AA$8),"")</f>
        <v>91</v>
      </c>
      <c r="J17" s="401">
        <f>IFERROR(ROUND('KL VI SMT 1'!AP18,$AA$8),"")</f>
        <v>87.44</v>
      </c>
      <c r="K17" s="411">
        <f t="shared" si="1"/>
        <v>443.16</v>
      </c>
      <c r="L17" s="370">
        <f t="shared" si="2"/>
        <v>2</v>
      </c>
      <c r="N17" s="35" t="str">
        <f t="shared" si="0"/>
        <v>Kosong</v>
      </c>
      <c r="T17" s="2">
        <v>9</v>
      </c>
      <c r="U17" s="2">
        <f>IF(IFERROR(RANK(K17,$K$9:$K$58,0),"")&gt;'Data Siswa'!$C$54*$K$4,"",IFERROR(RANK(K17,$K$9:$K$58,0),""))</f>
        <v>2</v>
      </c>
      <c r="W17" s="380">
        <v>0.6</v>
      </c>
    </row>
    <row r="18" spans="2:23">
      <c r="B18" s="236">
        <v>10</v>
      </c>
      <c r="C18" s="236" t="str">
        <f>'Data Siswa'!C13&amp;""</f>
        <v>2894</v>
      </c>
      <c r="D18" s="232" t="str">
        <f>'Data Siswa'!D13&amp;""</f>
        <v/>
      </c>
      <c r="E18" s="237" t="str">
        <f>'Data Siswa'!F13&amp;""</f>
        <v/>
      </c>
      <c r="F18" s="401">
        <f>IFERROR(ROUND('KL IV SMT 1'!AP19,$AA$8),"")</f>
        <v>84.56</v>
      </c>
      <c r="G18" s="401">
        <f>IFERROR(ROUND('KL IV SMT 2'!AP19,$AA$8),"")</f>
        <v>86.33</v>
      </c>
      <c r="H18" s="401">
        <f>IFERROR(ROUND('KL V SMT 1'!AP19,$AA$8),"")</f>
        <v>87.06</v>
      </c>
      <c r="I18" s="401">
        <f>IFERROR(ROUND('KL V SMT 2'!AP19,$AA$8),"")</f>
        <v>88.94</v>
      </c>
      <c r="J18" s="401">
        <f>IFERROR(ROUND('KL VI SMT 1'!AP19,$AA$8),"")</f>
        <v>85.28</v>
      </c>
      <c r="K18" s="411">
        <f t="shared" si="1"/>
        <v>432.17</v>
      </c>
      <c r="L18" s="370">
        <f t="shared" si="2"/>
        <v>4</v>
      </c>
      <c r="N18" s="35" t="str">
        <f t="shared" si="0"/>
        <v>Kosong</v>
      </c>
      <c r="T18" s="2">
        <v>10</v>
      </c>
      <c r="U18" s="2">
        <f>IF(IFERROR(RANK(K18,$K$9:$K$58,0),"")&gt;'Data Siswa'!$C$54*$K$4,"",IFERROR(RANK(K18,$K$9:$K$58,0),""))</f>
        <v>4</v>
      </c>
      <c r="W18" s="380">
        <v>0.55000000000000004</v>
      </c>
    </row>
    <row r="19" spans="2:23">
      <c r="B19" s="236">
        <v>11</v>
      </c>
      <c r="C19" s="236" t="str">
        <f>'Data Siswa'!C14&amp;""</f>
        <v>2895</v>
      </c>
      <c r="D19" s="232" t="str">
        <f>'Data Siswa'!D14&amp;""</f>
        <v/>
      </c>
      <c r="E19" s="237" t="str">
        <f>'Data Siswa'!F14&amp;""</f>
        <v/>
      </c>
      <c r="F19" s="401">
        <f>IFERROR(ROUND('KL IV SMT 1'!AP20,$AA$8),"")</f>
        <v>74.83</v>
      </c>
      <c r="G19" s="401">
        <f>IFERROR(ROUND('KL IV SMT 2'!AP20,$AA$8),"")</f>
        <v>72.89</v>
      </c>
      <c r="H19" s="401">
        <f>IFERROR(ROUND('KL V SMT 1'!AP20,$AA$8),"")</f>
        <v>82.61</v>
      </c>
      <c r="I19" s="401">
        <f>IFERROR(ROUND('KL V SMT 2'!AP20,$AA$8),"")</f>
        <v>84.83</v>
      </c>
      <c r="J19" s="401">
        <f>IFERROR(ROUND('KL VI SMT 1'!AP20,$AA$8),"")</f>
        <v>82.39</v>
      </c>
      <c r="K19" s="411">
        <f t="shared" si="1"/>
        <v>397.55</v>
      </c>
      <c r="L19" s="370" t="str">
        <f t="shared" si="2"/>
        <v/>
      </c>
      <c r="N19" s="35" t="str">
        <f t="shared" si="0"/>
        <v>Kosong</v>
      </c>
      <c r="T19" s="2">
        <v>11</v>
      </c>
      <c r="U19" s="2" t="str">
        <f>IF(IFERROR(RANK(K19,$K$9:$K$58,0),"")&gt;'Data Siswa'!$C$54*$K$4,"",IFERROR(RANK(K19,$K$9:$K$58,0),""))</f>
        <v/>
      </c>
      <c r="W19" s="380">
        <v>0.5</v>
      </c>
    </row>
    <row r="20" spans="2:23">
      <c r="B20" s="236">
        <v>12</v>
      </c>
      <c r="C20" s="236" t="str">
        <f>'Data Siswa'!C15&amp;""</f>
        <v>2896</v>
      </c>
      <c r="D20" s="232" t="str">
        <f>'Data Siswa'!D15&amp;""</f>
        <v/>
      </c>
      <c r="E20" s="237" t="str">
        <f>'Data Siswa'!F15&amp;""</f>
        <v/>
      </c>
      <c r="F20" s="401">
        <f>IFERROR(ROUND('KL IV SMT 1'!AP21,$AA$8),"")</f>
        <v>84.5</v>
      </c>
      <c r="G20" s="401">
        <f>IFERROR(ROUND('KL IV SMT 2'!AP21,$AA$8),"")</f>
        <v>89.83</v>
      </c>
      <c r="H20" s="401">
        <f>IFERROR(ROUND('KL V SMT 1'!AP21,$AA$8),"")</f>
        <v>89.83</v>
      </c>
      <c r="I20" s="401">
        <f>IFERROR(ROUND('KL V SMT 2'!AP21,$AA$8),"")</f>
        <v>92.44</v>
      </c>
      <c r="J20" s="401">
        <f>IFERROR(ROUND('KL VI SMT 1'!AP21,$AA$8),"")</f>
        <v>86.61</v>
      </c>
      <c r="K20" s="411">
        <f t="shared" si="1"/>
        <v>443.21</v>
      </c>
      <c r="L20" s="370">
        <f t="shared" si="2"/>
        <v>1</v>
      </c>
      <c r="N20" s="35" t="str">
        <f t="shared" si="0"/>
        <v>Kosong</v>
      </c>
      <c r="T20" s="2">
        <v>12</v>
      </c>
      <c r="U20" s="2">
        <f>IF(IFERROR(RANK(K20,$K$9:$K$58,0),"")&gt;'Data Siswa'!$C$54*$K$4,"",IFERROR(RANK(K20,$K$9:$K$58,0),""))</f>
        <v>1</v>
      </c>
      <c r="W20" s="380">
        <v>0.45</v>
      </c>
    </row>
    <row r="21" spans="2:23">
      <c r="B21" s="236">
        <v>13</v>
      </c>
      <c r="C21" s="236" t="str">
        <f>'Data Siswa'!C16&amp;""</f>
        <v>2897</v>
      </c>
      <c r="D21" s="232" t="str">
        <f>'Data Siswa'!D16&amp;""</f>
        <v/>
      </c>
      <c r="E21" s="237" t="str">
        <f>'Data Siswa'!F16&amp;""</f>
        <v/>
      </c>
      <c r="F21" s="401">
        <f>IFERROR(ROUND('KL IV SMT 1'!AP22,$AA$8),"")</f>
        <v>75.44</v>
      </c>
      <c r="G21" s="401">
        <f>IFERROR(ROUND('KL IV SMT 2'!AP22,$AA$8),"")</f>
        <v>75.39</v>
      </c>
      <c r="H21" s="401">
        <f>IFERROR(ROUND('KL V SMT 1'!AP22,$AA$8),"")</f>
        <v>81.67</v>
      </c>
      <c r="I21" s="401">
        <f>IFERROR(ROUND('KL V SMT 2'!AP22,$AA$8),"")</f>
        <v>84.17</v>
      </c>
      <c r="J21" s="401">
        <f>IFERROR(ROUND('KL VI SMT 1'!AP22,$AA$8),"")</f>
        <v>82.5</v>
      </c>
      <c r="K21" s="411">
        <f t="shared" si="1"/>
        <v>399.17</v>
      </c>
      <c r="L21" s="370" t="str">
        <f t="shared" si="2"/>
        <v/>
      </c>
      <c r="N21" s="35" t="str">
        <f t="shared" si="0"/>
        <v>Kosong</v>
      </c>
      <c r="T21" s="2">
        <v>13</v>
      </c>
      <c r="U21" s="2" t="str">
        <f>IF(IFERROR(RANK(K21,$K$9:$K$58,0),"")&gt;'Data Siswa'!$C$54*$K$4,"",IFERROR(RANK(K21,$K$9:$K$58,0),""))</f>
        <v/>
      </c>
      <c r="W21" s="380">
        <v>0.4</v>
      </c>
    </row>
    <row r="22" spans="2:23">
      <c r="B22" s="236">
        <v>14</v>
      </c>
      <c r="C22" s="236" t="str">
        <f>'Data Siswa'!C17&amp;""</f>
        <v>2898</v>
      </c>
      <c r="D22" s="232" t="str">
        <f>'Data Siswa'!D17&amp;""</f>
        <v/>
      </c>
      <c r="E22" s="237" t="str">
        <f>'Data Siswa'!F17&amp;""</f>
        <v/>
      </c>
      <c r="F22" s="401">
        <f>IFERROR(ROUND('KL IV SMT 1'!AP23,$AA$8),"")</f>
        <v>75.89</v>
      </c>
      <c r="G22" s="401">
        <f>IFERROR(ROUND('KL IV SMT 2'!AP23,$AA$8),"")</f>
        <v>78.06</v>
      </c>
      <c r="H22" s="401">
        <f>IFERROR(ROUND('KL V SMT 1'!AP23,$AA$8),"")</f>
        <v>84.72</v>
      </c>
      <c r="I22" s="401">
        <f>IFERROR(ROUND('KL V SMT 2'!AP23,$AA$8),"")</f>
        <v>86.22</v>
      </c>
      <c r="J22" s="401">
        <f>IFERROR(ROUND('KL VI SMT 1'!AP23,$AA$8),"")</f>
        <v>82.28</v>
      </c>
      <c r="K22" s="411">
        <f t="shared" si="1"/>
        <v>407.17</v>
      </c>
      <c r="L22" s="370" t="str">
        <f t="shared" si="2"/>
        <v/>
      </c>
      <c r="N22" s="35" t="str">
        <f t="shared" si="0"/>
        <v>Kosong</v>
      </c>
      <c r="T22" s="2">
        <v>14</v>
      </c>
      <c r="U22" s="2" t="str">
        <f>IF(IFERROR(RANK(K22,$K$9:$K$58,0),"")&gt;'Data Siswa'!$C$54*$K$4,"",IFERROR(RANK(K22,$K$9:$K$58,0),""))</f>
        <v/>
      </c>
      <c r="W22" s="380">
        <v>0.35</v>
      </c>
    </row>
    <row r="23" spans="2:23">
      <c r="B23" s="236">
        <v>15</v>
      </c>
      <c r="C23" s="236" t="str">
        <f>'Data Siswa'!C18&amp;""</f>
        <v>2900</v>
      </c>
      <c r="D23" s="232" t="str">
        <f>'Data Siswa'!D18&amp;""</f>
        <v/>
      </c>
      <c r="E23" s="237" t="str">
        <f>'Data Siswa'!F18&amp;""</f>
        <v/>
      </c>
      <c r="F23" s="401">
        <f>IFERROR(ROUND('KL IV SMT 1'!AP24,$AA$8),"")</f>
        <v>75.89</v>
      </c>
      <c r="G23" s="401">
        <f>IFERROR(ROUND('KL IV SMT 2'!AP24,$AA$8),"")</f>
        <v>77.94</v>
      </c>
      <c r="H23" s="401">
        <f>IFERROR(ROUND('KL V SMT 1'!AP24,$AA$8),"")</f>
        <v>86</v>
      </c>
      <c r="I23" s="401">
        <f>IFERROR(ROUND('KL V SMT 2'!AP24,$AA$8),"")</f>
        <v>87.83</v>
      </c>
      <c r="J23" s="401">
        <f>IFERROR(ROUND('KL VI SMT 1'!AP24,$AA$8),"")</f>
        <v>81.72</v>
      </c>
      <c r="K23" s="411">
        <f t="shared" si="1"/>
        <v>409.38</v>
      </c>
      <c r="L23" s="370">
        <f t="shared" si="2"/>
        <v>11</v>
      </c>
      <c r="N23" s="35" t="str">
        <f t="shared" si="0"/>
        <v>Kosong</v>
      </c>
      <c r="T23" s="2">
        <v>15</v>
      </c>
      <c r="U23" s="2">
        <f>IF(IFERROR(RANK(K23,$K$9:$K$58,0),"")&gt;'Data Siswa'!$C$54*$K$4,"",IFERROR(RANK(K23,$K$9:$K$58,0),""))</f>
        <v>11</v>
      </c>
      <c r="W23" s="380">
        <v>0.3</v>
      </c>
    </row>
    <row r="24" spans="2:23">
      <c r="B24" s="236">
        <v>16</v>
      </c>
      <c r="C24" s="236" t="str">
        <f>'Data Siswa'!C19&amp;""</f>
        <v>2899</v>
      </c>
      <c r="D24" s="232" t="str">
        <f>'Data Siswa'!D19&amp;""</f>
        <v/>
      </c>
      <c r="E24" s="237" t="str">
        <f>'Data Siswa'!F19&amp;""</f>
        <v/>
      </c>
      <c r="F24" s="401">
        <f>IFERROR(ROUND('KL IV SMT 1'!AP25,$AA$8),"")</f>
        <v>77.5</v>
      </c>
      <c r="G24" s="401">
        <f>IFERROR(ROUND('KL IV SMT 2'!AP25,$AA$8),"")</f>
        <v>79.72</v>
      </c>
      <c r="H24" s="401">
        <f>IFERROR(ROUND('KL V SMT 1'!AP25,$AA$8),"")</f>
        <v>86.67</v>
      </c>
      <c r="I24" s="401">
        <f>IFERROR(ROUND('KL V SMT 2'!AP25,$AA$8),"")</f>
        <v>88.17</v>
      </c>
      <c r="J24" s="401">
        <f>IFERROR(ROUND('KL VI SMT 1'!AP25,$AA$8),"")</f>
        <v>83.28</v>
      </c>
      <c r="K24" s="411">
        <f t="shared" si="1"/>
        <v>415.34</v>
      </c>
      <c r="L24" s="370">
        <f t="shared" si="2"/>
        <v>9</v>
      </c>
      <c r="N24" s="35" t="str">
        <f t="shared" si="0"/>
        <v>Kosong</v>
      </c>
      <c r="T24" s="2">
        <v>16</v>
      </c>
      <c r="U24" s="2">
        <f>IF(IFERROR(RANK(K24,$K$9:$K$58,0),"")&gt;'Data Siswa'!$C$54*$K$4,"",IFERROR(RANK(K24,$K$9:$K$58,0),""))</f>
        <v>9</v>
      </c>
      <c r="W24" s="380">
        <v>0.25</v>
      </c>
    </row>
    <row r="25" spans="2:23">
      <c r="B25" s="236">
        <v>17</v>
      </c>
      <c r="C25" s="236" t="str">
        <f>'Data Siswa'!C20&amp;""</f>
        <v>2901</v>
      </c>
      <c r="D25" s="232" t="str">
        <f>'Data Siswa'!D20&amp;""</f>
        <v/>
      </c>
      <c r="E25" s="237" t="str">
        <f>'Data Siswa'!F20&amp;""</f>
        <v/>
      </c>
      <c r="F25" s="401">
        <f>IFERROR(ROUND('KL IV SMT 1'!AP26,$AA$8),"")</f>
        <v>81.17</v>
      </c>
      <c r="G25" s="401">
        <f>IFERROR(ROUND('KL IV SMT 2'!AP26,$AA$8),"")</f>
        <v>81.72</v>
      </c>
      <c r="H25" s="401">
        <f>IFERROR(ROUND('KL V SMT 1'!AP26,$AA$8),"")</f>
        <v>85.44</v>
      </c>
      <c r="I25" s="401">
        <f>IFERROR(ROUND('KL V SMT 2'!AP26,$AA$8),"")</f>
        <v>88.56</v>
      </c>
      <c r="J25" s="401">
        <f>IFERROR(ROUND('KL VI SMT 1'!AP26,$AA$8),"")</f>
        <v>83.33</v>
      </c>
      <c r="K25" s="411">
        <f t="shared" si="1"/>
        <v>420.22</v>
      </c>
      <c r="L25" s="370">
        <f t="shared" si="2"/>
        <v>6</v>
      </c>
      <c r="N25" s="35" t="str">
        <f t="shared" si="0"/>
        <v>Kosong</v>
      </c>
      <c r="T25" s="2">
        <v>17</v>
      </c>
      <c r="U25" s="2">
        <f>IF(IFERROR(RANK(K25,$K$9:$K$58,0),"")&gt;'Data Siswa'!$C$54*$K$4,"",IFERROR(RANK(K25,$K$9:$K$58,0),""))</f>
        <v>6</v>
      </c>
      <c r="W25" s="380">
        <v>0.2</v>
      </c>
    </row>
    <row r="26" spans="2:23">
      <c r="B26" s="236">
        <v>18</v>
      </c>
      <c r="C26" s="236" t="str">
        <f>'Data Siswa'!C21&amp;""</f>
        <v>2902</v>
      </c>
      <c r="D26" s="232" t="str">
        <f>'Data Siswa'!D21&amp;""</f>
        <v/>
      </c>
      <c r="E26" s="237" t="str">
        <f>'Data Siswa'!F21&amp;""</f>
        <v/>
      </c>
      <c r="F26" s="401">
        <f>IFERROR(ROUND('KL IV SMT 1'!AP27,$AA$8),"")</f>
        <v>83.44</v>
      </c>
      <c r="G26" s="401">
        <f>IFERROR(ROUND('KL IV SMT 2'!AP27,$AA$8),"")</f>
        <v>86.39</v>
      </c>
      <c r="H26" s="401">
        <f>IFERROR(ROUND('KL V SMT 1'!AP27,$AA$8),"")</f>
        <v>89.5</v>
      </c>
      <c r="I26" s="401">
        <f>IFERROR(ROUND('KL V SMT 2'!AP27,$AA$8),"")</f>
        <v>90.06</v>
      </c>
      <c r="J26" s="401">
        <f>IFERROR(ROUND('KL VI SMT 1'!AP27,$AA$8),"")</f>
        <v>86.33</v>
      </c>
      <c r="K26" s="411">
        <f t="shared" si="1"/>
        <v>435.72</v>
      </c>
      <c r="L26" s="370">
        <f t="shared" si="2"/>
        <v>3</v>
      </c>
      <c r="N26" s="35" t="str">
        <f t="shared" si="0"/>
        <v>Kosong</v>
      </c>
      <c r="T26" s="2">
        <v>18</v>
      </c>
      <c r="U26" s="2">
        <f>IF(IFERROR(RANK(K26,$K$9:$K$58,0),"")&gt;'Data Siswa'!$C$54*$K$4,"",IFERROR(RANK(K26,$K$9:$K$58,0),""))</f>
        <v>3</v>
      </c>
      <c r="W26" s="380">
        <v>0.15</v>
      </c>
    </row>
    <row r="27" spans="2:23">
      <c r="B27" s="236">
        <v>19</v>
      </c>
      <c r="C27" s="236" t="str">
        <f>'Data Siswa'!C22&amp;""</f>
        <v>2904</v>
      </c>
      <c r="D27" s="232" t="str">
        <f>'Data Siswa'!D22&amp;""</f>
        <v/>
      </c>
      <c r="E27" s="237" t="str">
        <f>'Data Siswa'!F22&amp;""</f>
        <v/>
      </c>
      <c r="F27" s="401">
        <f>IFERROR(ROUND('KL IV SMT 1'!AP28,$AA$8),"")</f>
        <v>81</v>
      </c>
      <c r="G27" s="401">
        <f>IFERROR(ROUND('KL IV SMT 2'!AP28,$AA$8),"")</f>
        <v>79.44</v>
      </c>
      <c r="H27" s="401">
        <f>IFERROR(ROUND('KL V SMT 1'!AP28,$AA$8),"")</f>
        <v>84.17</v>
      </c>
      <c r="I27" s="401">
        <f>IFERROR(ROUND('KL V SMT 2'!AP28,$AA$8),"")</f>
        <v>85.67</v>
      </c>
      <c r="J27" s="401">
        <f>IFERROR(ROUND('KL VI SMT 1'!AP28,$AA$8),"")</f>
        <v>84.11</v>
      </c>
      <c r="K27" s="411">
        <f t="shared" si="1"/>
        <v>414.39</v>
      </c>
      <c r="L27" s="370">
        <f t="shared" si="2"/>
        <v>10</v>
      </c>
      <c r="N27" s="35" t="str">
        <f t="shared" si="0"/>
        <v>Kosong</v>
      </c>
      <c r="T27" s="2">
        <v>19</v>
      </c>
      <c r="U27" s="2">
        <f>IF(IFERROR(RANK(K27,$K$9:$K$58,0),"")&gt;'Data Siswa'!$C$54*$K$4,"",IFERROR(RANK(K27,$K$9:$K$58,0),""))</f>
        <v>10</v>
      </c>
      <c r="W27" s="380">
        <v>0.1</v>
      </c>
    </row>
    <row r="28" spans="2:23">
      <c r="B28" s="236">
        <v>20</v>
      </c>
      <c r="C28" s="236" t="str">
        <f>'Data Siswa'!C23&amp;""</f>
        <v>1111</v>
      </c>
      <c r="D28" s="232" t="str">
        <f>'Data Siswa'!D23&amp;""</f>
        <v/>
      </c>
      <c r="E28" s="237" t="str">
        <f>'Data Siswa'!F23&amp;""</f>
        <v/>
      </c>
      <c r="F28" s="401">
        <f>IFERROR(ROUND('KL IV SMT 1'!AP29,$AA$8),"")</f>
        <v>84.22</v>
      </c>
      <c r="G28" s="401">
        <f>IFERROR(ROUND('KL IV SMT 2'!AP29,$AA$8),"")</f>
        <v>85.83</v>
      </c>
      <c r="H28" s="401">
        <f>IFERROR(ROUND('KL V SMT 1'!AP29,$AA$8),"")</f>
        <v>85.11</v>
      </c>
      <c r="I28" s="401">
        <f>IFERROR(ROUND('KL V SMT 2'!AP29,$AA$8),"")</f>
        <v>80.11</v>
      </c>
      <c r="J28" s="401">
        <f>IFERROR(ROUND('KL VI SMT 1'!AP29,$AA$8),"")</f>
        <v>83.61</v>
      </c>
      <c r="K28" s="411">
        <f t="shared" si="1"/>
        <v>418.88</v>
      </c>
      <c r="L28" s="370">
        <f t="shared" si="2"/>
        <v>8</v>
      </c>
      <c r="N28" s="35" t="str">
        <f t="shared" si="0"/>
        <v>Kosong</v>
      </c>
      <c r="T28" s="2">
        <v>20</v>
      </c>
      <c r="U28" s="2">
        <f>IF(IFERROR(RANK(K28,$K$9:$K$58,0),"")&gt;'Data Siswa'!$C$54*$K$4,"",IFERROR(RANK(K28,$K$9:$K$58,0),""))</f>
        <v>8</v>
      </c>
      <c r="W28" s="380">
        <v>0.05</v>
      </c>
    </row>
    <row r="29" spans="2:23">
      <c r="B29" s="236">
        <v>21</v>
      </c>
      <c r="C29" s="236" t="str">
        <f>'Data Siswa'!C24&amp;""</f>
        <v>2906</v>
      </c>
      <c r="D29" s="232" t="str">
        <f>'Data Siswa'!D24&amp;""</f>
        <v/>
      </c>
      <c r="E29" s="237" t="str">
        <f>'Data Siswa'!F24&amp;""</f>
        <v/>
      </c>
      <c r="F29" s="401">
        <f>IFERROR(ROUND('KL IV SMT 1'!AP30,$AA$8),"")</f>
        <v>76.06</v>
      </c>
      <c r="G29" s="401">
        <f>IFERROR(ROUND('KL IV SMT 2'!AP30,$AA$8),"")</f>
        <v>74.44</v>
      </c>
      <c r="H29" s="401">
        <f>IFERROR(ROUND('KL V SMT 1'!AP30,$AA$8),"")</f>
        <v>76.22</v>
      </c>
      <c r="I29" s="401">
        <f>IFERROR(ROUND('KL V SMT 2'!AP30,$AA$8),"")</f>
        <v>76.22</v>
      </c>
      <c r="J29" s="401">
        <f>IFERROR(ROUND('KL VI SMT 1'!AP30,$AA$8),"")</f>
        <v>81.22</v>
      </c>
      <c r="K29" s="411">
        <f t="shared" si="1"/>
        <v>384.16</v>
      </c>
      <c r="L29" s="370" t="str">
        <f t="shared" si="2"/>
        <v/>
      </c>
      <c r="N29" s="35" t="str">
        <f t="shared" si="0"/>
        <v>Kosong</v>
      </c>
      <c r="T29" s="2">
        <v>21</v>
      </c>
      <c r="U29" s="2" t="str">
        <f>IF(IFERROR(RANK(K29,$K$9:$K$58,0),"")&gt;'Data Siswa'!$C$54*$K$4,"",IFERROR(RANK(K29,$K$9:$K$58,0),""))</f>
        <v/>
      </c>
      <c r="W29" s="380">
        <v>0</v>
      </c>
    </row>
    <row r="30" spans="2:23">
      <c r="B30" s="236">
        <v>22</v>
      </c>
      <c r="C30" s="236" t="str">
        <f>'Data Siswa'!C25&amp;""</f>
        <v/>
      </c>
      <c r="D30" s="232" t="str">
        <f>'Data Siswa'!D25&amp;""</f>
        <v/>
      </c>
      <c r="E30" s="237" t="str">
        <f>'Data Siswa'!F25&amp;""</f>
        <v/>
      </c>
      <c r="F30" s="401" t="str">
        <f>IFERROR(ROUND('KL IV SMT 1'!AP31,$AA$8),"")</f>
        <v/>
      </c>
      <c r="G30" s="401" t="str">
        <f>IFERROR(ROUND('KL IV SMT 2'!AP31,$AA$8),"")</f>
        <v/>
      </c>
      <c r="H30" s="401" t="str">
        <f>IFERROR(ROUND('KL V SMT 1'!AP31,$AA$8),"")</f>
        <v/>
      </c>
      <c r="I30" s="401" t="str">
        <f>IFERROR(ROUND('KL V SMT 2'!AP31,$AA$8),"")</f>
        <v/>
      </c>
      <c r="J30" s="401" t="str">
        <f>IFERROR(ROUND('KL VI SMT 1'!AP31,$AA$8),"")</f>
        <v/>
      </c>
      <c r="K30" s="411" t="str">
        <f t="shared" si="1"/>
        <v/>
      </c>
      <c r="L30" s="370" t="str">
        <f t="shared" si="2"/>
        <v/>
      </c>
      <c r="N30" s="35" t="str">
        <f t="shared" si="0"/>
        <v>Kosong</v>
      </c>
      <c r="T30" s="2">
        <v>22</v>
      </c>
      <c r="U30" s="2" t="str">
        <f>IF(IFERROR(RANK(K30,$K$9:$K$58,0),"")&gt;'Data Siswa'!$C$54*$K$4,"",IFERROR(RANK(K30,$K$9:$K$58,0),""))</f>
        <v/>
      </c>
    </row>
    <row r="31" spans="2:23">
      <c r="B31" s="236">
        <v>23</v>
      </c>
      <c r="C31" s="236" t="str">
        <f>'Data Siswa'!C26&amp;""</f>
        <v/>
      </c>
      <c r="D31" s="232" t="str">
        <f>'Data Siswa'!D26&amp;""</f>
        <v/>
      </c>
      <c r="E31" s="237" t="str">
        <f>'Data Siswa'!F26&amp;""</f>
        <v/>
      </c>
      <c r="F31" s="401" t="str">
        <f>IFERROR(ROUND('KL IV SMT 1'!AP32,$AA$8),"")</f>
        <v/>
      </c>
      <c r="G31" s="401" t="str">
        <f>IFERROR(ROUND('KL IV SMT 2'!AP32,$AA$8),"")</f>
        <v/>
      </c>
      <c r="H31" s="401" t="str">
        <f>IFERROR(ROUND('KL V SMT 1'!AP32,$AA$8),"")</f>
        <v/>
      </c>
      <c r="I31" s="401" t="str">
        <f>IFERROR(ROUND('KL V SMT 2'!AP32,$AA$8),"")</f>
        <v/>
      </c>
      <c r="J31" s="401" t="str">
        <f>IFERROR(ROUND('KL VI SMT 1'!AP32,$AA$8),"")</f>
        <v/>
      </c>
      <c r="K31" s="411" t="str">
        <f t="shared" si="1"/>
        <v/>
      </c>
      <c r="L31" s="370" t="str">
        <f t="shared" si="2"/>
        <v/>
      </c>
      <c r="N31" s="35" t="str">
        <f t="shared" si="0"/>
        <v>Kosong</v>
      </c>
      <c r="T31" s="2">
        <v>23</v>
      </c>
      <c r="U31" s="2" t="str">
        <f>IF(IFERROR(RANK(K31,$K$9:$K$58,0),"")&gt;'Data Siswa'!$C$54*$K$4,"",IFERROR(RANK(K31,$K$9:$K$58,0),""))</f>
        <v/>
      </c>
    </row>
    <row r="32" spans="2:23">
      <c r="B32" s="236">
        <v>24</v>
      </c>
      <c r="C32" s="236" t="str">
        <f>'Data Siswa'!C27&amp;""</f>
        <v/>
      </c>
      <c r="D32" s="232" t="str">
        <f>'Data Siswa'!D27&amp;""</f>
        <v/>
      </c>
      <c r="E32" s="237" t="str">
        <f>'Data Siswa'!F27&amp;""</f>
        <v/>
      </c>
      <c r="F32" s="401" t="str">
        <f>IFERROR(ROUND('KL IV SMT 1'!AP33,$AA$8),"")</f>
        <v/>
      </c>
      <c r="G32" s="401" t="str">
        <f>IFERROR(ROUND('KL IV SMT 2'!AP33,$AA$8),"")</f>
        <v/>
      </c>
      <c r="H32" s="401" t="str">
        <f>IFERROR(ROUND('KL V SMT 1'!AP33,$AA$8),"")</f>
        <v/>
      </c>
      <c r="I32" s="401" t="str">
        <f>IFERROR(ROUND('KL V SMT 2'!AP33,$AA$8),"")</f>
        <v/>
      </c>
      <c r="J32" s="401" t="str">
        <f>IFERROR(ROUND('KL VI SMT 1'!AP33,$AA$8),"")</f>
        <v/>
      </c>
      <c r="K32" s="411" t="str">
        <f t="shared" si="1"/>
        <v/>
      </c>
      <c r="L32" s="370" t="str">
        <f t="shared" si="2"/>
        <v/>
      </c>
      <c r="N32" s="35" t="str">
        <f t="shared" si="0"/>
        <v>Kosong</v>
      </c>
      <c r="T32" s="2">
        <v>24</v>
      </c>
      <c r="U32" s="2" t="str">
        <f>IF(IFERROR(RANK(K32,$K$9:$K$58,0),"")&gt;'Data Siswa'!$C$54*$K$4,"",IFERROR(RANK(K32,$K$9:$K$58,0),""))</f>
        <v/>
      </c>
    </row>
    <row r="33" spans="2:21">
      <c r="B33" s="236">
        <v>25</v>
      </c>
      <c r="C33" s="236" t="str">
        <f>'Data Siswa'!C28&amp;""</f>
        <v/>
      </c>
      <c r="D33" s="232" t="str">
        <f>'Data Siswa'!D28&amp;""</f>
        <v/>
      </c>
      <c r="E33" s="237" t="str">
        <f>'Data Siswa'!F28&amp;""</f>
        <v/>
      </c>
      <c r="F33" s="401" t="str">
        <f>IFERROR(ROUND('KL IV SMT 1'!AP34,$AA$8),"")</f>
        <v/>
      </c>
      <c r="G33" s="401" t="str">
        <f>IFERROR(ROUND('KL IV SMT 2'!AP34,$AA$8),"")</f>
        <v/>
      </c>
      <c r="H33" s="401" t="str">
        <f>IFERROR(ROUND('KL V SMT 1'!AP34,$AA$8),"")</f>
        <v/>
      </c>
      <c r="I33" s="401" t="str">
        <f>IFERROR(ROUND('KL V SMT 2'!AP34,$AA$8),"")</f>
        <v/>
      </c>
      <c r="J33" s="401" t="str">
        <f>IFERROR(ROUND('KL VI SMT 1'!AP34,$AA$8),"")</f>
        <v/>
      </c>
      <c r="K33" s="411" t="str">
        <f t="shared" si="1"/>
        <v/>
      </c>
      <c r="L33" s="370" t="str">
        <f t="shared" si="2"/>
        <v/>
      </c>
      <c r="N33" s="35" t="str">
        <f t="shared" si="0"/>
        <v>Kosong</v>
      </c>
      <c r="T33" s="2">
        <v>25</v>
      </c>
      <c r="U33" s="2" t="str">
        <f>IF(IFERROR(RANK(K33,$K$9:$K$58,0),"")&gt;'Data Siswa'!$C$54*$K$4,"",IFERROR(RANK(K33,$K$9:$K$58,0),""))</f>
        <v/>
      </c>
    </row>
    <row r="34" spans="2:21">
      <c r="B34" s="236">
        <v>26</v>
      </c>
      <c r="C34" s="236" t="str">
        <f>'Data Siswa'!C29&amp;""</f>
        <v/>
      </c>
      <c r="D34" s="232" t="str">
        <f>'Data Siswa'!D29&amp;""</f>
        <v/>
      </c>
      <c r="E34" s="237" t="str">
        <f>'Data Siswa'!F29&amp;""</f>
        <v/>
      </c>
      <c r="F34" s="401" t="str">
        <f>IFERROR(ROUND('KL IV SMT 1'!AP35,$AA$8),"")</f>
        <v/>
      </c>
      <c r="G34" s="401" t="str">
        <f>IFERROR(ROUND('KL IV SMT 2'!AP35,$AA$8),"")</f>
        <v/>
      </c>
      <c r="H34" s="401" t="str">
        <f>IFERROR(ROUND('KL V SMT 1'!AP35,$AA$8),"")</f>
        <v/>
      </c>
      <c r="I34" s="401" t="str">
        <f>IFERROR(ROUND('KL V SMT 2'!AP35,$AA$8),"")</f>
        <v/>
      </c>
      <c r="J34" s="401" t="str">
        <f>IFERROR(ROUND('KL VI SMT 1'!AP35,$AA$8),"")</f>
        <v/>
      </c>
      <c r="K34" s="411" t="str">
        <f t="shared" si="1"/>
        <v/>
      </c>
      <c r="L34" s="370" t="str">
        <f t="shared" si="2"/>
        <v/>
      </c>
      <c r="N34" s="35" t="str">
        <f t="shared" si="0"/>
        <v>Kosong</v>
      </c>
      <c r="T34" s="2">
        <v>26</v>
      </c>
      <c r="U34" s="2" t="str">
        <f>IF(IFERROR(RANK(K34,$K$9:$K$58,0),"")&gt;'Data Siswa'!$C$54*$K$4,"",IFERROR(RANK(K34,$K$9:$K$58,0),""))</f>
        <v/>
      </c>
    </row>
    <row r="35" spans="2:21">
      <c r="B35" s="236">
        <v>27</v>
      </c>
      <c r="C35" s="236" t="str">
        <f>'Data Siswa'!C30&amp;""</f>
        <v/>
      </c>
      <c r="D35" s="232" t="str">
        <f>'Data Siswa'!D30&amp;""</f>
        <v/>
      </c>
      <c r="E35" s="237" t="str">
        <f>'Data Siswa'!F30&amp;""</f>
        <v/>
      </c>
      <c r="F35" s="401" t="str">
        <f>IFERROR(ROUND('KL IV SMT 1'!AP36,$AA$8),"")</f>
        <v/>
      </c>
      <c r="G35" s="401" t="str">
        <f>IFERROR(ROUND('KL IV SMT 2'!AP36,$AA$8),"")</f>
        <v/>
      </c>
      <c r="H35" s="401" t="str">
        <f>IFERROR(ROUND('KL V SMT 1'!AP36,$AA$8),"")</f>
        <v/>
      </c>
      <c r="I35" s="401" t="str">
        <f>IFERROR(ROUND('KL V SMT 2'!AP36,$AA$8),"")</f>
        <v/>
      </c>
      <c r="J35" s="401" t="str">
        <f>IFERROR(ROUND('KL VI SMT 1'!AP36,$AA$8),"")</f>
        <v/>
      </c>
      <c r="K35" s="411" t="str">
        <f t="shared" si="1"/>
        <v/>
      </c>
      <c r="L35" s="370" t="str">
        <f t="shared" si="2"/>
        <v/>
      </c>
      <c r="N35" s="35" t="str">
        <f t="shared" si="0"/>
        <v>Kosong</v>
      </c>
      <c r="T35" s="2">
        <v>27</v>
      </c>
      <c r="U35" s="2" t="str">
        <f>IF(IFERROR(RANK(K35,$K$9:$K$58,0),"")&gt;'Data Siswa'!$C$54*$K$4,"",IFERROR(RANK(K35,$K$9:$K$58,0),""))</f>
        <v/>
      </c>
    </row>
    <row r="36" spans="2:21">
      <c r="B36" s="236">
        <v>28</v>
      </c>
      <c r="C36" s="236" t="str">
        <f>'Data Siswa'!C31&amp;""</f>
        <v/>
      </c>
      <c r="D36" s="232" t="str">
        <f>'Data Siswa'!D31&amp;""</f>
        <v/>
      </c>
      <c r="E36" s="237" t="str">
        <f>'Data Siswa'!F31&amp;""</f>
        <v/>
      </c>
      <c r="F36" s="401" t="str">
        <f>IFERROR(ROUND('KL IV SMT 1'!AP37,$AA$8),"")</f>
        <v/>
      </c>
      <c r="G36" s="401" t="str">
        <f>IFERROR(ROUND('KL IV SMT 2'!AP37,$AA$8),"")</f>
        <v/>
      </c>
      <c r="H36" s="401" t="str">
        <f>IFERROR(ROUND('KL V SMT 1'!AP37,$AA$8),"")</f>
        <v/>
      </c>
      <c r="I36" s="401" t="str">
        <f>IFERROR(ROUND('KL V SMT 2'!AP37,$AA$8),"")</f>
        <v/>
      </c>
      <c r="J36" s="401" t="str">
        <f>IFERROR(ROUND('KL VI SMT 1'!AP37,$AA$8),"")</f>
        <v/>
      </c>
      <c r="K36" s="411" t="str">
        <f t="shared" si="1"/>
        <v/>
      </c>
      <c r="L36" s="370" t="str">
        <f t="shared" si="2"/>
        <v/>
      </c>
      <c r="N36" s="35" t="str">
        <f t="shared" si="0"/>
        <v>Kosong</v>
      </c>
      <c r="T36" s="2">
        <v>28</v>
      </c>
      <c r="U36" s="2" t="str">
        <f>IF(IFERROR(RANK(K36,$K$9:$K$58,0),"")&gt;'Data Siswa'!$C$54*$K$4,"",IFERROR(RANK(K36,$K$9:$K$58,0),""))</f>
        <v/>
      </c>
    </row>
    <row r="37" spans="2:21">
      <c r="B37" s="236">
        <v>29</v>
      </c>
      <c r="C37" s="236" t="str">
        <f>'Data Siswa'!C32&amp;""</f>
        <v/>
      </c>
      <c r="D37" s="232" t="str">
        <f>'Data Siswa'!D32&amp;""</f>
        <v/>
      </c>
      <c r="E37" s="237" t="str">
        <f>'Data Siswa'!F32&amp;""</f>
        <v/>
      </c>
      <c r="F37" s="401" t="str">
        <f>IFERROR(ROUND('KL IV SMT 1'!AP38,$AA$8),"")</f>
        <v/>
      </c>
      <c r="G37" s="401" t="str">
        <f>IFERROR(ROUND('KL IV SMT 2'!AP38,$AA$8),"")</f>
        <v/>
      </c>
      <c r="H37" s="401" t="str">
        <f>IFERROR(ROUND('KL V SMT 1'!AP38,$AA$8),"")</f>
        <v/>
      </c>
      <c r="I37" s="401" t="str">
        <f>IFERROR(ROUND('KL V SMT 2'!AP38,$AA$8),"")</f>
        <v/>
      </c>
      <c r="J37" s="401" t="str">
        <f>IFERROR(ROUND('KL VI SMT 1'!AP38,$AA$8),"")</f>
        <v/>
      </c>
      <c r="K37" s="411" t="str">
        <f t="shared" si="1"/>
        <v/>
      </c>
      <c r="L37" s="370" t="str">
        <f t="shared" si="2"/>
        <v/>
      </c>
      <c r="N37" s="35" t="str">
        <f t="shared" si="0"/>
        <v>Kosong</v>
      </c>
      <c r="T37" s="2">
        <v>29</v>
      </c>
      <c r="U37" s="2" t="str">
        <f>IF(IFERROR(RANK(K37,$K$9:$K$58,0),"")&gt;'Data Siswa'!$C$54*$K$4,"",IFERROR(RANK(K37,$K$9:$K$58,0),""))</f>
        <v/>
      </c>
    </row>
    <row r="38" spans="2:21">
      <c r="B38" s="236">
        <v>30</v>
      </c>
      <c r="C38" s="236" t="str">
        <f>'Data Siswa'!C33&amp;""</f>
        <v/>
      </c>
      <c r="D38" s="232" t="str">
        <f>'Data Siswa'!D33&amp;""</f>
        <v/>
      </c>
      <c r="E38" s="237" t="str">
        <f>'Data Siswa'!F33&amp;""</f>
        <v/>
      </c>
      <c r="F38" s="401" t="str">
        <f>IFERROR(ROUND('KL IV SMT 1'!AP39,$AA$8),"")</f>
        <v/>
      </c>
      <c r="G38" s="401" t="str">
        <f>IFERROR(ROUND('KL IV SMT 2'!AP39,$AA$8),"")</f>
        <v/>
      </c>
      <c r="H38" s="401" t="str">
        <f>IFERROR(ROUND('KL V SMT 1'!AP39,$AA$8),"")</f>
        <v/>
      </c>
      <c r="I38" s="401" t="str">
        <f>IFERROR(ROUND('KL V SMT 2'!AP39,$AA$8),"")</f>
        <v/>
      </c>
      <c r="J38" s="401" t="str">
        <f>IFERROR(ROUND('KL VI SMT 1'!AP39,$AA$8),"")</f>
        <v/>
      </c>
      <c r="K38" s="411" t="str">
        <f t="shared" si="1"/>
        <v/>
      </c>
      <c r="L38" s="370" t="str">
        <f t="shared" si="2"/>
        <v/>
      </c>
      <c r="N38" s="35" t="str">
        <f t="shared" si="0"/>
        <v>Kosong</v>
      </c>
      <c r="T38" s="2">
        <v>30</v>
      </c>
      <c r="U38" s="2" t="str">
        <f>IF(IFERROR(RANK(K38,$K$9:$K$58,0),"")&gt;'Data Siswa'!$C$54*$K$4,"",IFERROR(RANK(K38,$K$9:$K$58,0),""))</f>
        <v/>
      </c>
    </row>
    <row r="39" spans="2:21">
      <c r="B39" s="236">
        <v>31</v>
      </c>
      <c r="C39" s="236" t="str">
        <f>'Data Siswa'!C34&amp;""</f>
        <v/>
      </c>
      <c r="D39" s="232" t="str">
        <f>'Data Siswa'!D34&amp;""</f>
        <v/>
      </c>
      <c r="E39" s="237" t="str">
        <f>'Data Siswa'!F34&amp;""</f>
        <v/>
      </c>
      <c r="F39" s="401" t="str">
        <f>IFERROR(ROUND('KL IV SMT 1'!AP40,$AA$8),"")</f>
        <v/>
      </c>
      <c r="G39" s="401" t="str">
        <f>IFERROR(ROUND('KL IV SMT 2'!AP40,$AA$8),"")</f>
        <v/>
      </c>
      <c r="H39" s="401" t="str">
        <f>IFERROR(ROUND('KL V SMT 1'!AP40,$AA$8),"")</f>
        <v/>
      </c>
      <c r="I39" s="401" t="str">
        <f>IFERROR(ROUND('KL V SMT 2'!AP40,$AA$8),"")</f>
        <v/>
      </c>
      <c r="J39" s="401" t="str">
        <f>IFERROR(ROUND('KL VI SMT 1'!AP40,$AA$8),"")</f>
        <v/>
      </c>
      <c r="K39" s="411" t="str">
        <f t="shared" si="1"/>
        <v/>
      </c>
      <c r="L39" s="370" t="str">
        <f t="shared" si="2"/>
        <v/>
      </c>
      <c r="N39" s="35" t="str">
        <f t="shared" si="0"/>
        <v>Kosong</v>
      </c>
      <c r="T39" s="2">
        <v>31</v>
      </c>
      <c r="U39" s="2" t="str">
        <f>IF(IFERROR(RANK(K39,$K$9:$K$58,0),"")&gt;'Data Siswa'!$C$54*$K$4,"",IFERROR(RANK(K39,$K$9:$K$58,0),""))</f>
        <v/>
      </c>
    </row>
    <row r="40" spans="2:21">
      <c r="B40" s="236">
        <v>32</v>
      </c>
      <c r="C40" s="236" t="str">
        <f>'Data Siswa'!C35&amp;""</f>
        <v/>
      </c>
      <c r="D40" s="232" t="str">
        <f>'Data Siswa'!D35&amp;""</f>
        <v/>
      </c>
      <c r="E40" s="237" t="str">
        <f>'Data Siswa'!F35&amp;""</f>
        <v/>
      </c>
      <c r="F40" s="401" t="str">
        <f>IFERROR(ROUND('KL IV SMT 1'!AP41,$AA$8),"")</f>
        <v/>
      </c>
      <c r="G40" s="401" t="str">
        <f>IFERROR(ROUND('KL IV SMT 2'!AP41,$AA$8),"")</f>
        <v/>
      </c>
      <c r="H40" s="401" t="str">
        <f>IFERROR(ROUND('KL V SMT 1'!AP41,$AA$8),"")</f>
        <v/>
      </c>
      <c r="I40" s="401" t="str">
        <f>IFERROR(ROUND('KL V SMT 2'!AP41,$AA$8),"")</f>
        <v/>
      </c>
      <c r="J40" s="401" t="str">
        <f>IFERROR(ROUND('KL VI SMT 1'!AP41,$AA$8),"")</f>
        <v/>
      </c>
      <c r="K40" s="411" t="str">
        <f t="shared" si="1"/>
        <v/>
      </c>
      <c r="L40" s="370" t="str">
        <f t="shared" si="2"/>
        <v/>
      </c>
      <c r="N40" s="35" t="str">
        <f t="shared" si="0"/>
        <v>Kosong</v>
      </c>
      <c r="T40" s="2">
        <v>32</v>
      </c>
      <c r="U40" s="2" t="str">
        <f>IF(IFERROR(RANK(K40,$K$9:$K$58,0),"")&gt;'Data Siswa'!$C$54*$K$4,"",IFERROR(RANK(K40,$K$9:$K$58,0),""))</f>
        <v/>
      </c>
    </row>
    <row r="41" spans="2:21">
      <c r="B41" s="236">
        <v>33</v>
      </c>
      <c r="C41" s="236" t="str">
        <f>'Data Siswa'!C36&amp;""</f>
        <v/>
      </c>
      <c r="D41" s="232" t="str">
        <f>'Data Siswa'!D36&amp;""</f>
        <v/>
      </c>
      <c r="E41" s="237" t="str">
        <f>'Data Siswa'!F36&amp;""</f>
        <v/>
      </c>
      <c r="F41" s="401" t="str">
        <f>IFERROR(ROUND('KL IV SMT 1'!AP42,$AA$8),"")</f>
        <v/>
      </c>
      <c r="G41" s="401" t="str">
        <f>IFERROR(ROUND('KL IV SMT 2'!AP42,$AA$8),"")</f>
        <v/>
      </c>
      <c r="H41" s="401" t="str">
        <f>IFERROR(ROUND('KL V SMT 1'!AP42,$AA$8),"")</f>
        <v/>
      </c>
      <c r="I41" s="401" t="str">
        <f>IFERROR(ROUND('KL V SMT 2'!AP42,$AA$8),"")</f>
        <v/>
      </c>
      <c r="J41" s="401" t="str">
        <f>IFERROR(ROUND('KL VI SMT 1'!AP42,$AA$8),"")</f>
        <v/>
      </c>
      <c r="K41" s="411" t="str">
        <f t="shared" si="1"/>
        <v/>
      </c>
      <c r="L41" s="370" t="str">
        <f t="shared" si="2"/>
        <v/>
      </c>
      <c r="N41" s="35" t="str">
        <f t="shared" ref="N41:N58" si="3">IF(E41="","Kosong","Data")</f>
        <v>Kosong</v>
      </c>
      <c r="T41" s="2">
        <v>33</v>
      </c>
      <c r="U41" s="2" t="str">
        <f>IF(IFERROR(RANK(K41,$K$9:$K$58,0),"")&gt;'Data Siswa'!$C$54*$K$4,"",IFERROR(RANK(K41,$K$9:$K$58,0),""))</f>
        <v/>
      </c>
    </row>
    <row r="42" spans="2:21">
      <c r="B42" s="236">
        <v>34</v>
      </c>
      <c r="C42" s="236" t="str">
        <f>'Data Siswa'!C37&amp;""</f>
        <v/>
      </c>
      <c r="D42" s="232" t="str">
        <f>'Data Siswa'!D37&amp;""</f>
        <v/>
      </c>
      <c r="E42" s="237" t="str">
        <f>'Data Siswa'!F37&amp;""</f>
        <v/>
      </c>
      <c r="F42" s="401" t="str">
        <f>IFERROR(ROUND('KL IV SMT 1'!AP43,$AA$8),"")</f>
        <v/>
      </c>
      <c r="G42" s="401" t="str">
        <f>IFERROR(ROUND('KL IV SMT 2'!AP43,$AA$8),"")</f>
        <v/>
      </c>
      <c r="H42" s="401" t="str">
        <f>IFERROR(ROUND('KL V SMT 1'!AP43,$AA$8),"")</f>
        <v/>
      </c>
      <c r="I42" s="401" t="str">
        <f>IFERROR(ROUND('KL V SMT 2'!AP43,$AA$8),"")</f>
        <v/>
      </c>
      <c r="J42" s="401" t="str">
        <f>IFERROR(ROUND('KL VI SMT 1'!AP43,$AA$8),"")</f>
        <v/>
      </c>
      <c r="K42" s="411" t="str">
        <f t="shared" si="1"/>
        <v/>
      </c>
      <c r="L42" s="370" t="str">
        <f t="shared" si="2"/>
        <v/>
      </c>
      <c r="N42" s="35" t="str">
        <f t="shared" si="3"/>
        <v>Kosong</v>
      </c>
      <c r="T42" s="2">
        <v>34</v>
      </c>
      <c r="U42" s="2" t="str">
        <f>IF(IFERROR(RANK(K42,$K$9:$K$58,0),"")&gt;'Data Siswa'!$C$54*$K$4,"",IFERROR(RANK(K42,$K$9:$K$58,0),""))</f>
        <v/>
      </c>
    </row>
    <row r="43" spans="2:21">
      <c r="B43" s="236">
        <v>35</v>
      </c>
      <c r="C43" s="236" t="str">
        <f>'Data Siswa'!C38&amp;""</f>
        <v/>
      </c>
      <c r="D43" s="232" t="str">
        <f>'Data Siswa'!D38&amp;""</f>
        <v/>
      </c>
      <c r="E43" s="237" t="str">
        <f>'Data Siswa'!F38&amp;""</f>
        <v/>
      </c>
      <c r="F43" s="401" t="str">
        <f>IFERROR(ROUND('KL IV SMT 1'!AP44,$AA$8),"")</f>
        <v/>
      </c>
      <c r="G43" s="401" t="str">
        <f>IFERROR(ROUND('KL IV SMT 2'!AP44,$AA$8),"")</f>
        <v/>
      </c>
      <c r="H43" s="401" t="str">
        <f>IFERROR(ROUND('KL V SMT 1'!AP44,$AA$8),"")</f>
        <v/>
      </c>
      <c r="I43" s="401" t="str">
        <f>IFERROR(ROUND('KL V SMT 2'!AP44,$AA$8),"")</f>
        <v/>
      </c>
      <c r="J43" s="401" t="str">
        <f>IFERROR(ROUND('KL VI SMT 1'!AP44,$AA$8),"")</f>
        <v/>
      </c>
      <c r="K43" s="411" t="str">
        <f t="shared" si="1"/>
        <v/>
      </c>
      <c r="L43" s="370" t="str">
        <f t="shared" si="2"/>
        <v/>
      </c>
      <c r="N43" s="35" t="str">
        <f t="shared" si="3"/>
        <v>Kosong</v>
      </c>
      <c r="T43" s="2">
        <v>35</v>
      </c>
      <c r="U43" s="2" t="str">
        <f>IF(IFERROR(RANK(K43,$K$9:$K$58,0),"")&gt;'Data Siswa'!$C$54*$K$4,"",IFERROR(RANK(K43,$K$9:$K$58,0),""))</f>
        <v/>
      </c>
    </row>
    <row r="44" spans="2:21">
      <c r="B44" s="236">
        <v>36</v>
      </c>
      <c r="C44" s="236" t="str">
        <f>'Data Siswa'!C39&amp;""</f>
        <v/>
      </c>
      <c r="D44" s="232" t="str">
        <f>'Data Siswa'!D39&amp;""</f>
        <v/>
      </c>
      <c r="E44" s="237" t="str">
        <f>'Data Siswa'!F39&amp;""</f>
        <v/>
      </c>
      <c r="F44" s="401" t="str">
        <f>IFERROR(ROUND('KL IV SMT 1'!AP45,$AA$8),"")</f>
        <v/>
      </c>
      <c r="G44" s="401" t="str">
        <f>IFERROR(ROUND('KL IV SMT 2'!AP45,$AA$8),"")</f>
        <v/>
      </c>
      <c r="H44" s="401" t="str">
        <f>IFERROR(ROUND('KL V SMT 1'!AP45,$AA$8),"")</f>
        <v/>
      </c>
      <c r="I44" s="401" t="str">
        <f>IFERROR(ROUND('KL V SMT 2'!AP45,$AA$8),"")</f>
        <v/>
      </c>
      <c r="J44" s="401" t="str">
        <f>IFERROR(ROUND('KL VI SMT 1'!AP45,$AA$8),"")</f>
        <v/>
      </c>
      <c r="K44" s="411" t="str">
        <f t="shared" si="1"/>
        <v/>
      </c>
      <c r="L44" s="370" t="str">
        <f t="shared" si="2"/>
        <v/>
      </c>
      <c r="N44" s="35" t="str">
        <f t="shared" si="3"/>
        <v>Kosong</v>
      </c>
      <c r="T44" s="2">
        <v>36</v>
      </c>
      <c r="U44" s="2" t="str">
        <f>IF(IFERROR(RANK(K44,$K$9:$K$58,0),"")&gt;'Data Siswa'!$C$54*$K$4,"",IFERROR(RANK(K44,$K$9:$K$58,0),""))</f>
        <v/>
      </c>
    </row>
    <row r="45" spans="2:21">
      <c r="B45" s="236">
        <v>37</v>
      </c>
      <c r="C45" s="236" t="str">
        <f>'Data Siswa'!C40&amp;""</f>
        <v/>
      </c>
      <c r="D45" s="232" t="str">
        <f>'Data Siswa'!D40&amp;""</f>
        <v/>
      </c>
      <c r="E45" s="237" t="str">
        <f>'Data Siswa'!F40&amp;""</f>
        <v/>
      </c>
      <c r="F45" s="401" t="str">
        <f>IFERROR(ROUND('KL IV SMT 1'!AP46,$AA$8),"")</f>
        <v/>
      </c>
      <c r="G45" s="401" t="str">
        <f>IFERROR(ROUND('KL IV SMT 2'!AP46,$AA$8),"")</f>
        <v/>
      </c>
      <c r="H45" s="401" t="str">
        <f>IFERROR(ROUND('KL V SMT 1'!AP46,$AA$8),"")</f>
        <v/>
      </c>
      <c r="I45" s="401" t="str">
        <f>IFERROR(ROUND('KL V SMT 2'!AP46,$AA$8),"")</f>
        <v/>
      </c>
      <c r="J45" s="401" t="str">
        <f>IFERROR(ROUND('KL VI SMT 1'!AP46,$AA$8),"")</f>
        <v/>
      </c>
      <c r="K45" s="411" t="str">
        <f t="shared" si="1"/>
        <v/>
      </c>
      <c r="L45" s="370" t="str">
        <f t="shared" si="2"/>
        <v/>
      </c>
      <c r="N45" s="35" t="str">
        <f t="shared" si="3"/>
        <v>Kosong</v>
      </c>
      <c r="T45" s="2">
        <v>37</v>
      </c>
      <c r="U45" s="2" t="str">
        <f>IF(IFERROR(RANK(K45,$K$9:$K$58,0),"")&gt;'Data Siswa'!$C$54*$K$4,"",IFERROR(RANK(K45,$K$9:$K$58,0),""))</f>
        <v/>
      </c>
    </row>
    <row r="46" spans="2:21">
      <c r="B46" s="236">
        <v>38</v>
      </c>
      <c r="C46" s="236" t="str">
        <f>'Data Siswa'!C41&amp;""</f>
        <v/>
      </c>
      <c r="D46" s="232" t="str">
        <f>'Data Siswa'!D41&amp;""</f>
        <v/>
      </c>
      <c r="E46" s="237" t="str">
        <f>'Data Siswa'!F41&amp;""</f>
        <v/>
      </c>
      <c r="F46" s="401" t="str">
        <f>IFERROR(ROUND('KL IV SMT 1'!AP47,$AA$8),"")</f>
        <v/>
      </c>
      <c r="G46" s="401" t="str">
        <f>IFERROR(ROUND('KL IV SMT 2'!AP47,$AA$8),"")</f>
        <v/>
      </c>
      <c r="H46" s="401" t="str">
        <f>IFERROR(ROUND('KL V SMT 1'!AP47,$AA$8),"")</f>
        <v/>
      </c>
      <c r="I46" s="401" t="str">
        <f>IFERROR(ROUND('KL V SMT 2'!AP47,$AA$8),"")</f>
        <v/>
      </c>
      <c r="J46" s="401" t="str">
        <f>IFERROR(ROUND('KL VI SMT 1'!AP47,$AA$8),"")</f>
        <v/>
      </c>
      <c r="K46" s="411" t="str">
        <f t="shared" si="1"/>
        <v/>
      </c>
      <c r="L46" s="370" t="str">
        <f t="shared" si="2"/>
        <v/>
      </c>
      <c r="N46" s="35" t="str">
        <f t="shared" si="3"/>
        <v>Kosong</v>
      </c>
      <c r="T46" s="2">
        <v>38</v>
      </c>
      <c r="U46" s="2" t="str">
        <f>IF(IFERROR(RANK(K46,$K$9:$K$58,0),"")&gt;'Data Siswa'!$C$54*$K$4,"",IFERROR(RANK(K46,$K$9:$K$58,0),""))</f>
        <v/>
      </c>
    </row>
    <row r="47" spans="2:21">
      <c r="B47" s="236">
        <v>39</v>
      </c>
      <c r="C47" s="236" t="str">
        <f>'Data Siswa'!C42&amp;""</f>
        <v/>
      </c>
      <c r="D47" s="232" t="str">
        <f>'Data Siswa'!D42&amp;""</f>
        <v/>
      </c>
      <c r="E47" s="237" t="str">
        <f>'Data Siswa'!F42&amp;""</f>
        <v/>
      </c>
      <c r="F47" s="401" t="str">
        <f>IFERROR(ROUND('KL IV SMT 1'!AP48,$AA$8),"")</f>
        <v/>
      </c>
      <c r="G47" s="401" t="str">
        <f>IFERROR(ROUND('KL IV SMT 2'!AP48,$AA$8),"")</f>
        <v/>
      </c>
      <c r="H47" s="401" t="str">
        <f>IFERROR(ROUND('KL V SMT 1'!AP48,$AA$8),"")</f>
        <v/>
      </c>
      <c r="I47" s="401" t="str">
        <f>IFERROR(ROUND('KL V SMT 2'!AP48,$AA$8),"")</f>
        <v/>
      </c>
      <c r="J47" s="401" t="str">
        <f>IFERROR(ROUND('KL VI SMT 1'!AP48,$AA$8),"")</f>
        <v/>
      </c>
      <c r="K47" s="411" t="str">
        <f t="shared" si="1"/>
        <v/>
      </c>
      <c r="L47" s="370" t="str">
        <f t="shared" si="2"/>
        <v/>
      </c>
      <c r="N47" s="35" t="str">
        <f t="shared" si="3"/>
        <v>Kosong</v>
      </c>
      <c r="T47" s="2">
        <v>39</v>
      </c>
      <c r="U47" s="2" t="str">
        <f>IF(IFERROR(RANK(K47,$K$9:$K$58,0),"")&gt;'Data Siswa'!$C$54*$K$4,"",IFERROR(RANK(K47,$K$9:$K$58,0),""))</f>
        <v/>
      </c>
    </row>
    <row r="48" spans="2:21">
      <c r="B48" s="236">
        <v>40</v>
      </c>
      <c r="C48" s="236" t="str">
        <f>'Data Siswa'!C43&amp;""</f>
        <v/>
      </c>
      <c r="D48" s="232" t="str">
        <f>'Data Siswa'!D43&amp;""</f>
        <v/>
      </c>
      <c r="E48" s="237" t="str">
        <f>'Data Siswa'!F43&amp;""</f>
        <v/>
      </c>
      <c r="F48" s="401" t="str">
        <f>IFERROR(ROUND('KL IV SMT 1'!AP49,$AA$8),"")</f>
        <v/>
      </c>
      <c r="G48" s="401" t="str">
        <f>IFERROR(ROUND('KL IV SMT 2'!AP49,$AA$8),"")</f>
        <v/>
      </c>
      <c r="H48" s="401" t="str">
        <f>IFERROR(ROUND('KL V SMT 1'!AP49,$AA$8),"")</f>
        <v/>
      </c>
      <c r="I48" s="401" t="str">
        <f>IFERROR(ROUND('KL V SMT 2'!AP49,$AA$8),"")</f>
        <v/>
      </c>
      <c r="J48" s="401" t="str">
        <f>IFERROR(ROUND('KL VI SMT 1'!AP49,$AA$8),"")</f>
        <v/>
      </c>
      <c r="K48" s="411" t="str">
        <f t="shared" si="1"/>
        <v/>
      </c>
      <c r="L48" s="370" t="str">
        <f t="shared" si="2"/>
        <v/>
      </c>
      <c r="N48" s="35" t="str">
        <f t="shared" si="3"/>
        <v>Kosong</v>
      </c>
      <c r="T48" s="2">
        <v>40</v>
      </c>
      <c r="U48" s="2" t="str">
        <f>IF(IFERROR(RANK(K48,$K$9:$K$58,0),"")&gt;'Data Siswa'!$C$54*$K$4,"",IFERROR(RANK(K48,$K$9:$K$58,0),""))</f>
        <v/>
      </c>
    </row>
    <row r="49" spans="2:21">
      <c r="B49" s="236">
        <v>41</v>
      </c>
      <c r="C49" s="236" t="str">
        <f>'Data Siswa'!C44&amp;""</f>
        <v/>
      </c>
      <c r="D49" s="232" t="str">
        <f>'Data Siswa'!D44&amp;""</f>
        <v/>
      </c>
      <c r="E49" s="237" t="str">
        <f>'Data Siswa'!F44&amp;""</f>
        <v/>
      </c>
      <c r="F49" s="401" t="str">
        <f>IFERROR(ROUND('KL IV SMT 1'!AP50,$AA$8),"")</f>
        <v/>
      </c>
      <c r="G49" s="401" t="str">
        <f>IFERROR(ROUND('KL IV SMT 2'!AP50,$AA$8),"")</f>
        <v/>
      </c>
      <c r="H49" s="401" t="str">
        <f>IFERROR(ROUND('KL V SMT 1'!AP50,$AA$8),"")</f>
        <v/>
      </c>
      <c r="I49" s="401" t="str">
        <f>IFERROR(ROUND('KL V SMT 2'!AP50,$AA$8),"")</f>
        <v/>
      </c>
      <c r="J49" s="401" t="str">
        <f>IFERROR(ROUND('KL VI SMT 1'!AP50,$AA$8),"")</f>
        <v/>
      </c>
      <c r="K49" s="411" t="str">
        <f t="shared" si="1"/>
        <v/>
      </c>
      <c r="L49" s="370" t="str">
        <f t="shared" si="2"/>
        <v/>
      </c>
      <c r="N49" s="35" t="str">
        <f t="shared" si="3"/>
        <v>Kosong</v>
      </c>
      <c r="T49" s="2">
        <v>41</v>
      </c>
      <c r="U49" s="2" t="str">
        <f>IF(IFERROR(RANK(K49,$K$9:$K$58,0),"")&gt;'Data Siswa'!$C$54*$K$4,"",IFERROR(RANK(K49,$K$9:$K$58,0),""))</f>
        <v/>
      </c>
    </row>
    <row r="50" spans="2:21">
      <c r="B50" s="236">
        <v>42</v>
      </c>
      <c r="C50" s="236" t="str">
        <f>'Data Siswa'!C45&amp;""</f>
        <v/>
      </c>
      <c r="D50" s="232" t="str">
        <f>'Data Siswa'!D45&amp;""</f>
        <v/>
      </c>
      <c r="E50" s="237" t="str">
        <f>'Data Siswa'!F45&amp;""</f>
        <v/>
      </c>
      <c r="F50" s="401" t="str">
        <f>IFERROR(ROUND('KL IV SMT 1'!AP51,$AA$8),"")</f>
        <v/>
      </c>
      <c r="G50" s="401" t="str">
        <f>IFERROR(ROUND('KL IV SMT 2'!AP51,$AA$8),"")</f>
        <v/>
      </c>
      <c r="H50" s="401" t="str">
        <f>IFERROR(ROUND('KL V SMT 1'!AP51,$AA$8),"")</f>
        <v/>
      </c>
      <c r="I50" s="401" t="str">
        <f>IFERROR(ROUND('KL V SMT 2'!AP51,$AA$8),"")</f>
        <v/>
      </c>
      <c r="J50" s="401" t="str">
        <f>IFERROR(ROUND('KL VI SMT 1'!AP51,$AA$8),"")</f>
        <v/>
      </c>
      <c r="K50" s="411" t="str">
        <f t="shared" si="1"/>
        <v/>
      </c>
      <c r="L50" s="370" t="str">
        <f t="shared" si="2"/>
        <v/>
      </c>
      <c r="N50" s="35" t="str">
        <f t="shared" si="3"/>
        <v>Kosong</v>
      </c>
      <c r="T50" s="2">
        <v>42</v>
      </c>
      <c r="U50" s="2" t="str">
        <f>IF(IFERROR(RANK(K50,$K$9:$K$58,0),"")&gt;'Data Siswa'!$C$54*$K$4,"",IFERROR(RANK(K50,$K$9:$K$58,0),""))</f>
        <v/>
      </c>
    </row>
    <row r="51" spans="2:21">
      <c r="B51" s="236">
        <v>43</v>
      </c>
      <c r="C51" s="236" t="str">
        <f>'Data Siswa'!C46&amp;""</f>
        <v/>
      </c>
      <c r="D51" s="232" t="str">
        <f>'Data Siswa'!D46&amp;""</f>
        <v/>
      </c>
      <c r="E51" s="237" t="str">
        <f>'Data Siswa'!F46&amp;""</f>
        <v/>
      </c>
      <c r="F51" s="401" t="str">
        <f>IFERROR(ROUND('KL IV SMT 1'!AP52,$AA$8),"")</f>
        <v/>
      </c>
      <c r="G51" s="401" t="str">
        <f>IFERROR(ROUND('KL IV SMT 2'!AP52,$AA$8),"")</f>
        <v/>
      </c>
      <c r="H51" s="401" t="str">
        <f>IFERROR(ROUND('KL V SMT 1'!AP52,$AA$8),"")</f>
        <v/>
      </c>
      <c r="I51" s="401" t="str">
        <f>IFERROR(ROUND('KL V SMT 2'!AP52,$AA$8),"")</f>
        <v/>
      </c>
      <c r="J51" s="401" t="str">
        <f>IFERROR(ROUND('KL VI SMT 1'!AP52,$AA$8),"")</f>
        <v/>
      </c>
      <c r="K51" s="411" t="str">
        <f t="shared" si="1"/>
        <v/>
      </c>
      <c r="L51" s="370" t="str">
        <f t="shared" si="2"/>
        <v/>
      </c>
      <c r="N51" s="35" t="str">
        <f t="shared" si="3"/>
        <v>Kosong</v>
      </c>
      <c r="T51" s="2">
        <v>43</v>
      </c>
      <c r="U51" s="2" t="str">
        <f>IF(IFERROR(RANK(K51,$K$9:$K$58,0),"")&gt;'Data Siswa'!$C$54*$K$4,"",IFERROR(RANK(K51,$K$9:$K$58,0),""))</f>
        <v/>
      </c>
    </row>
    <row r="52" spans="2:21">
      <c r="B52" s="236">
        <v>44</v>
      </c>
      <c r="C52" s="236" t="str">
        <f>'Data Siswa'!C47&amp;""</f>
        <v/>
      </c>
      <c r="D52" s="232" t="str">
        <f>'Data Siswa'!D47&amp;""</f>
        <v/>
      </c>
      <c r="E52" s="237" t="str">
        <f>'Data Siswa'!F47&amp;""</f>
        <v/>
      </c>
      <c r="F52" s="401" t="str">
        <f>IFERROR(ROUND('KL IV SMT 1'!AP53,$AA$8),"")</f>
        <v/>
      </c>
      <c r="G52" s="401" t="str">
        <f>IFERROR(ROUND('KL IV SMT 2'!AP53,$AA$8),"")</f>
        <v/>
      </c>
      <c r="H52" s="401" t="str">
        <f>IFERROR(ROUND('KL V SMT 1'!AP53,$AA$8),"")</f>
        <v/>
      </c>
      <c r="I52" s="401" t="str">
        <f>IFERROR(ROUND('KL V SMT 2'!AP53,$AA$8),"")</f>
        <v/>
      </c>
      <c r="J52" s="401" t="str">
        <f>IFERROR(ROUND('KL VI SMT 1'!AP53,$AA$8),"")</f>
        <v/>
      </c>
      <c r="K52" s="411" t="str">
        <f t="shared" si="1"/>
        <v/>
      </c>
      <c r="L52" s="370" t="str">
        <f t="shared" si="2"/>
        <v/>
      </c>
      <c r="N52" s="35" t="str">
        <f t="shared" si="3"/>
        <v>Kosong</v>
      </c>
      <c r="T52" s="2">
        <v>44</v>
      </c>
      <c r="U52" s="2" t="str">
        <f>IF(IFERROR(RANK(K52,$K$9:$K$58,0),"")&gt;'Data Siswa'!$C$54*$K$4,"",IFERROR(RANK(K52,$K$9:$K$58,0),""))</f>
        <v/>
      </c>
    </row>
    <row r="53" spans="2:21">
      <c r="B53" s="236">
        <v>45</v>
      </c>
      <c r="C53" s="236" t="str">
        <f>'Data Siswa'!C48&amp;""</f>
        <v/>
      </c>
      <c r="D53" s="232" t="str">
        <f>'Data Siswa'!D48&amp;""</f>
        <v/>
      </c>
      <c r="E53" s="237" t="str">
        <f>'Data Siswa'!F48&amp;""</f>
        <v/>
      </c>
      <c r="F53" s="401" t="str">
        <f>IFERROR(ROUND('KL IV SMT 1'!AP54,$AA$8),"")</f>
        <v/>
      </c>
      <c r="G53" s="401" t="str">
        <f>IFERROR(ROUND('KL IV SMT 2'!AP54,$AA$8),"")</f>
        <v/>
      </c>
      <c r="H53" s="401" t="str">
        <f>IFERROR(ROUND('KL V SMT 1'!AP54,$AA$8),"")</f>
        <v/>
      </c>
      <c r="I53" s="401" t="str">
        <f>IFERROR(ROUND('KL V SMT 2'!AP54,$AA$8),"")</f>
        <v/>
      </c>
      <c r="J53" s="401" t="str">
        <f>IFERROR(ROUND('KL VI SMT 1'!AP54,$AA$8),"")</f>
        <v/>
      </c>
      <c r="K53" s="411" t="str">
        <f t="shared" si="1"/>
        <v/>
      </c>
      <c r="L53" s="370" t="str">
        <f t="shared" si="2"/>
        <v/>
      </c>
      <c r="N53" s="35" t="str">
        <f t="shared" si="3"/>
        <v>Kosong</v>
      </c>
      <c r="T53" s="2">
        <v>45</v>
      </c>
      <c r="U53" s="2" t="str">
        <f>IF(IFERROR(RANK(K53,$K$9:$K$58,0),"")&gt;'Data Siswa'!$C$54*$K$4,"",IFERROR(RANK(K53,$K$9:$K$58,0),""))</f>
        <v/>
      </c>
    </row>
    <row r="54" spans="2:21">
      <c r="B54" s="236">
        <v>46</v>
      </c>
      <c r="C54" s="236" t="str">
        <f>'Data Siswa'!C49&amp;""</f>
        <v/>
      </c>
      <c r="D54" s="232" t="str">
        <f>'Data Siswa'!D49&amp;""</f>
        <v/>
      </c>
      <c r="E54" s="237" t="str">
        <f>'Data Siswa'!F49&amp;""</f>
        <v/>
      </c>
      <c r="F54" s="401" t="str">
        <f>IFERROR(ROUND('KL IV SMT 1'!AP55,$AA$8),"")</f>
        <v/>
      </c>
      <c r="G54" s="401" t="str">
        <f>IFERROR(ROUND('KL IV SMT 2'!AP55,$AA$8),"")</f>
        <v/>
      </c>
      <c r="H54" s="401" t="str">
        <f>IFERROR(ROUND('KL V SMT 1'!AP55,$AA$8),"")</f>
        <v/>
      </c>
      <c r="I54" s="401" t="str">
        <f>IFERROR(ROUND('KL V SMT 2'!AP55,$AA$8),"")</f>
        <v/>
      </c>
      <c r="J54" s="401" t="str">
        <f>IFERROR(ROUND('KL VI SMT 1'!AP55,$AA$8),"")</f>
        <v/>
      </c>
      <c r="K54" s="411" t="str">
        <f t="shared" si="1"/>
        <v/>
      </c>
      <c r="L54" s="370" t="str">
        <f t="shared" si="2"/>
        <v/>
      </c>
      <c r="N54" s="35" t="str">
        <f t="shared" si="3"/>
        <v>Kosong</v>
      </c>
      <c r="T54" s="2">
        <v>46</v>
      </c>
      <c r="U54" s="2" t="str">
        <f>IF(IFERROR(RANK(K54,$K$9:$K$58,0),"")&gt;'Data Siswa'!$C$54*$K$4,"",IFERROR(RANK(K54,$K$9:$K$58,0),""))</f>
        <v/>
      </c>
    </row>
    <row r="55" spans="2:21">
      <c r="B55" s="236">
        <v>47</v>
      </c>
      <c r="C55" s="236" t="str">
        <f>'Data Siswa'!C50&amp;""</f>
        <v/>
      </c>
      <c r="D55" s="232" t="str">
        <f>'Data Siswa'!D50&amp;""</f>
        <v/>
      </c>
      <c r="E55" s="237" t="str">
        <f>'Data Siswa'!F50&amp;""</f>
        <v/>
      </c>
      <c r="F55" s="401" t="str">
        <f>IFERROR(ROUND('KL IV SMT 1'!AP56,$AA$8),"")</f>
        <v/>
      </c>
      <c r="G55" s="401" t="str">
        <f>IFERROR(ROUND('KL IV SMT 2'!AP56,$AA$8),"")</f>
        <v/>
      </c>
      <c r="H55" s="401" t="str">
        <f>IFERROR(ROUND('KL V SMT 1'!AP56,$AA$8),"")</f>
        <v/>
      </c>
      <c r="I55" s="401" t="str">
        <f>IFERROR(ROUND('KL V SMT 2'!AP56,$AA$8),"")</f>
        <v/>
      </c>
      <c r="J55" s="401" t="str">
        <f>IFERROR(ROUND('KL VI SMT 1'!AP56,$AA$8),"")</f>
        <v/>
      </c>
      <c r="K55" s="411" t="str">
        <f t="shared" si="1"/>
        <v/>
      </c>
      <c r="L55" s="370" t="str">
        <f t="shared" si="2"/>
        <v/>
      </c>
      <c r="N55" s="35" t="str">
        <f t="shared" si="3"/>
        <v>Kosong</v>
      </c>
      <c r="T55" s="2">
        <v>47</v>
      </c>
      <c r="U55" s="2" t="str">
        <f>IF(IFERROR(RANK(K55,$K$9:$K$58,0),"")&gt;'Data Siswa'!$C$54*$K$4,"",IFERROR(RANK(K55,$K$9:$K$58,0),""))</f>
        <v/>
      </c>
    </row>
    <row r="56" spans="2:21">
      <c r="B56" s="236">
        <v>48</v>
      </c>
      <c r="C56" s="236" t="str">
        <f>'Data Siswa'!C51&amp;""</f>
        <v/>
      </c>
      <c r="D56" s="232" t="str">
        <f>'Data Siswa'!D51&amp;""</f>
        <v/>
      </c>
      <c r="E56" s="237" t="str">
        <f>'Data Siswa'!F51&amp;""</f>
        <v/>
      </c>
      <c r="F56" s="401" t="str">
        <f>IFERROR(ROUND('KL IV SMT 1'!AP57,$AA$8),"")</f>
        <v/>
      </c>
      <c r="G56" s="401" t="str">
        <f>IFERROR(ROUND('KL IV SMT 2'!AP57,$AA$8),"")</f>
        <v/>
      </c>
      <c r="H56" s="401" t="str">
        <f>IFERROR(ROUND('KL V SMT 1'!AP57,$AA$8),"")</f>
        <v/>
      </c>
      <c r="I56" s="401" t="str">
        <f>IFERROR(ROUND('KL V SMT 2'!AP57,$AA$8),"")</f>
        <v/>
      </c>
      <c r="J56" s="401" t="str">
        <f>IFERROR(ROUND('KL VI SMT 1'!AP57,$AA$8),"")</f>
        <v/>
      </c>
      <c r="K56" s="411" t="str">
        <f t="shared" si="1"/>
        <v/>
      </c>
      <c r="L56" s="370" t="str">
        <f t="shared" si="2"/>
        <v/>
      </c>
      <c r="N56" s="35" t="str">
        <f t="shared" si="3"/>
        <v>Kosong</v>
      </c>
      <c r="T56" s="2">
        <v>48</v>
      </c>
      <c r="U56" s="2" t="str">
        <f>IF(IFERROR(RANK(K56,$K$9:$K$58,0),"")&gt;'Data Siswa'!$C$54*$K$4,"",IFERROR(RANK(K56,$K$9:$K$58,0),""))</f>
        <v/>
      </c>
    </row>
    <row r="57" spans="2:21">
      <c r="B57" s="236">
        <v>49</v>
      </c>
      <c r="C57" s="236" t="str">
        <f>'Data Siswa'!C52&amp;""</f>
        <v/>
      </c>
      <c r="D57" s="232" t="str">
        <f>'Data Siswa'!D52&amp;""</f>
        <v/>
      </c>
      <c r="E57" s="237" t="str">
        <f>'Data Siswa'!F52&amp;""</f>
        <v/>
      </c>
      <c r="F57" s="401" t="str">
        <f>IFERROR(ROUND('KL IV SMT 1'!AP58,$AA$8),"")</f>
        <v/>
      </c>
      <c r="G57" s="401" t="str">
        <f>IFERROR(ROUND('KL IV SMT 2'!AP58,$AA$8),"")</f>
        <v/>
      </c>
      <c r="H57" s="401" t="str">
        <f>IFERROR(ROUND('KL V SMT 1'!AP58,$AA$8),"")</f>
        <v/>
      </c>
      <c r="I57" s="401" t="str">
        <f>IFERROR(ROUND('KL V SMT 2'!AP58,$AA$8),"")</f>
        <v/>
      </c>
      <c r="J57" s="401" t="str">
        <f>IFERROR(ROUND('KL VI SMT 1'!AP58,$AA$8),"")</f>
        <v/>
      </c>
      <c r="K57" s="411" t="str">
        <f t="shared" si="1"/>
        <v/>
      </c>
      <c r="L57" s="370" t="str">
        <f t="shared" si="2"/>
        <v/>
      </c>
      <c r="N57" s="35" t="str">
        <f t="shared" si="3"/>
        <v>Kosong</v>
      </c>
      <c r="T57" s="2">
        <v>49</v>
      </c>
      <c r="U57" s="2" t="str">
        <f>IF(IFERROR(RANK(K57,$K$9:$K$58,0),"")&gt;'Data Siswa'!$C$54*$K$4,"",IFERROR(RANK(K57,$K$9:$K$58,0),""))</f>
        <v/>
      </c>
    </row>
    <row r="58" spans="2:21">
      <c r="B58" s="236">
        <v>50</v>
      </c>
      <c r="C58" s="236" t="str">
        <f>'Data Siswa'!C53&amp;""</f>
        <v/>
      </c>
      <c r="D58" s="232" t="str">
        <f>'Data Siswa'!D53&amp;""</f>
        <v/>
      </c>
      <c r="E58" s="237" t="str">
        <f>'Data Siswa'!F53&amp;""</f>
        <v/>
      </c>
      <c r="F58" s="401" t="str">
        <f>IFERROR(ROUND('KL IV SMT 1'!AP59,$AA$8),"")</f>
        <v/>
      </c>
      <c r="G58" s="401" t="str">
        <f>IFERROR(ROUND('KL IV SMT 2'!AP59,$AA$8),"")</f>
        <v/>
      </c>
      <c r="H58" s="401" t="str">
        <f>IFERROR(ROUND('KL V SMT 1'!AP59,$AA$8),"")</f>
        <v/>
      </c>
      <c r="I58" s="401" t="str">
        <f>IFERROR(ROUND('KL V SMT 2'!AP59,$AA$8),"")</f>
        <v/>
      </c>
      <c r="J58" s="401" t="str">
        <f>IFERROR(ROUND('KL VI SMT 1'!AP59,$AA$8),"")</f>
        <v/>
      </c>
      <c r="K58" s="411" t="str">
        <f t="shared" si="1"/>
        <v/>
      </c>
      <c r="L58" s="370" t="str">
        <f t="shared" si="2"/>
        <v/>
      </c>
      <c r="N58" s="35" t="str">
        <f t="shared" si="3"/>
        <v>Kosong</v>
      </c>
      <c r="T58" s="2">
        <v>50</v>
      </c>
      <c r="U58" s="2" t="str">
        <f>IF(IFERROR(RANK(K58,$K$9:$K$58,0),"")&gt;'Data Siswa'!$C$54*$K$4,"",IFERROR(RANK(K58,$K$9:$K$58,0),""))</f>
        <v/>
      </c>
    </row>
    <row r="70" spans="2:2">
      <c r="B70" s="192" t="s">
        <v>134</v>
      </c>
    </row>
  </sheetData>
  <sheetProtection password="CC5B" sheet="1" objects="1" scenarios="1" formatCells="0" formatColumns="0" autoFilter="0"/>
  <autoFilter ref="N7:N58"/>
  <mergeCells count="12">
    <mergeCell ref="T8:U8"/>
    <mergeCell ref="B1:K1"/>
    <mergeCell ref="B7:B8"/>
    <mergeCell ref="C7:C8"/>
    <mergeCell ref="D7:D8"/>
    <mergeCell ref="E7:E8"/>
    <mergeCell ref="K7:K8"/>
    <mergeCell ref="F7:G7"/>
    <mergeCell ref="H7:I7"/>
    <mergeCell ref="G3:I3"/>
    <mergeCell ref="H4:I4"/>
    <mergeCell ref="H5:I5"/>
  </mergeCells>
  <phoneticPr fontId="53" type="noConversion"/>
  <conditionalFormatting sqref="F9:K58">
    <cfRule type="cellIs" dxfId="0" priority="28" operator="lessThan">
      <formula>#REF!</formula>
    </cfRule>
  </conditionalFormatting>
  <dataValidations count="2">
    <dataValidation type="list" allowBlank="1" showInputMessage="1" showErrorMessage="1" sqref="K4">
      <formula1>$W$9:$W$29</formula1>
    </dataValidation>
    <dataValidation type="list" allowBlank="1" showInputMessage="1" showErrorMessage="1" sqref="H4:H5">
      <formula1>$Y$8:$Y$12</formula1>
    </dataValidation>
  </dataValidations>
  <pageMargins left="0.51181102362204722" right="0.31496062992125984" top="0.74803149606299213" bottom="0.35433070866141736" header="0.31496062992125984" footer="0.31496062992125984"/>
  <pageSetup paperSize="141" scale="84" orientation="landscape" blackAndWhite="1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AG53"/>
  <sheetViews>
    <sheetView showGridLines="0" topLeftCell="A4" zoomScale="70" zoomScaleNormal="70" zoomScaleSheetLayoutView="70" workbookViewId="0">
      <selection activeCell="E5" sqref="E5:Y5"/>
    </sheetView>
  </sheetViews>
  <sheetFormatPr defaultColWidth="0" defaultRowHeight="14"/>
  <cols>
    <col min="1" max="1" width="3.7265625" style="304" customWidth="1"/>
    <col min="2" max="2" width="3.26953125" style="304" customWidth="1"/>
    <col min="3" max="3" width="5.7265625" style="304" customWidth="1"/>
    <col min="4" max="4" width="5.26953125" style="304" customWidth="1"/>
    <col min="5" max="5" width="14.453125" style="304" customWidth="1"/>
    <col min="6" max="6" width="2.1796875" style="304" customWidth="1"/>
    <col min="7" max="7" width="11.453125" style="304" customWidth="1"/>
    <col min="8" max="8" width="12" style="304" customWidth="1"/>
    <col min="9" max="23" width="7.7265625" style="304" customWidth="1"/>
    <col min="24" max="24" width="11" style="304" customWidth="1"/>
    <col min="25" max="25" width="13.453125" style="304" customWidth="1"/>
    <col min="26" max="26" width="2.54296875" style="304" customWidth="1"/>
    <col min="27" max="27" width="4.1796875" style="304" customWidth="1"/>
    <col min="28" max="28" width="3.453125" style="303" customWidth="1"/>
    <col min="29" max="30" width="9.1796875" style="304" customWidth="1"/>
    <col min="31" max="31" width="9.1796875" style="304" hidden="1" customWidth="1"/>
    <col min="32" max="16384" width="9.1796875" style="305" hidden="1"/>
  </cols>
  <sheetData>
    <row r="1" spans="1:31">
      <c r="A1" s="302"/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</row>
    <row r="2" spans="1:31" ht="11.5" customHeight="1">
      <c r="A2" s="302"/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2"/>
      <c r="AC2" s="307"/>
      <c r="AD2" s="307"/>
      <c r="AE2" s="307"/>
    </row>
    <row r="3" spans="1:31" ht="14.5" customHeight="1">
      <c r="A3" s="302"/>
      <c r="B3" s="306"/>
      <c r="C3" s="308"/>
      <c r="D3" s="309"/>
      <c r="E3" s="486" t="str">
        <f>UPPER("PEMERINTAH "&amp;Kab_Kota&amp;" "&amp;Kabupaten)</f>
        <v>PEMERINTAH KABUPATEN WONOGIRI</v>
      </c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309"/>
      <c r="AA3" s="302"/>
      <c r="AC3" s="310"/>
      <c r="AD3" s="310"/>
      <c r="AE3" s="310"/>
    </row>
    <row r="4" spans="1:31" ht="14.5" customHeight="1">
      <c r="A4" s="302"/>
      <c r="B4" s="306"/>
      <c r="C4" s="308"/>
      <c r="D4" s="306"/>
      <c r="E4" s="486" t="str">
        <f>UPPER(Nama_Dinas)</f>
        <v>DINAS PENDIDIKAN DAN KEBUDAYAAN</v>
      </c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6"/>
      <c r="T4" s="486"/>
      <c r="U4" s="486"/>
      <c r="V4" s="486"/>
      <c r="W4" s="486"/>
      <c r="X4" s="486"/>
      <c r="Y4" s="486"/>
      <c r="Z4" s="309"/>
      <c r="AA4" s="302"/>
      <c r="AC4" s="310"/>
      <c r="AD4" s="310"/>
      <c r="AE4" s="310"/>
    </row>
    <row r="5" spans="1:31" ht="19.5" customHeight="1">
      <c r="A5" s="302"/>
      <c r="B5" s="306"/>
      <c r="C5" s="308"/>
      <c r="D5" s="306"/>
      <c r="E5" s="487" t="str">
        <f>UPPER(Nama_Sekolah_KOP)</f>
        <v>SD NEGERI 1 GIRIHARJO PUHPELEM</v>
      </c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311"/>
      <c r="AA5" s="302"/>
      <c r="AC5" s="310"/>
      <c r="AD5" s="310"/>
      <c r="AE5" s="310"/>
    </row>
    <row r="6" spans="1:31" ht="14.5" customHeight="1">
      <c r="A6" s="302"/>
      <c r="B6" s="306"/>
      <c r="C6" s="308"/>
      <c r="D6" s="306"/>
      <c r="E6" s="488" t="str">
        <f>Alamat_Lengkap&amp;", "&amp;Kelurahan&amp;", "&amp;Kecamatan&amp;", "&amp;Kabupaten&amp;" Kode Pos "&amp;kode_pos</f>
        <v>Jalan Giriharjo-Sarangan, Giriharjo, Puhpelem, Wonogiri Kode Pos 57698</v>
      </c>
      <c r="F6" s="488"/>
      <c r="G6" s="488"/>
      <c r="H6" s="488"/>
      <c r="I6" s="488"/>
      <c r="J6" s="488"/>
      <c r="K6" s="488"/>
      <c r="L6" s="488"/>
      <c r="M6" s="488"/>
      <c r="N6" s="488"/>
      <c r="O6" s="488"/>
      <c r="P6" s="488"/>
      <c r="Q6" s="488"/>
      <c r="R6" s="488"/>
      <c r="S6" s="488"/>
      <c r="T6" s="488"/>
      <c r="U6" s="488"/>
      <c r="V6" s="488"/>
      <c r="W6" s="488"/>
      <c r="X6" s="488"/>
      <c r="Y6" s="488"/>
      <c r="Z6" s="311"/>
      <c r="AA6" s="302"/>
      <c r="AC6" s="310"/>
      <c r="AD6" s="310"/>
      <c r="AE6" s="310"/>
    </row>
    <row r="7" spans="1:31" ht="14.5" customHeight="1" thickBot="1">
      <c r="A7" s="302"/>
      <c r="B7" s="306"/>
      <c r="C7" s="312"/>
      <c r="D7" s="312"/>
      <c r="E7" s="493" t="str">
        <f>"Telepon No. "&amp;Telepon&amp;", "&amp;"Email: "&amp;Email</f>
        <v>Telepon No. -, Email: sdn1giriharjo@gmail.com</v>
      </c>
      <c r="F7" s="493"/>
      <c r="G7" s="493"/>
      <c r="H7" s="493"/>
      <c r="I7" s="493"/>
      <c r="J7" s="493"/>
      <c r="K7" s="493"/>
      <c r="L7" s="493"/>
      <c r="M7" s="493"/>
      <c r="N7" s="493"/>
      <c r="O7" s="493"/>
      <c r="P7" s="493"/>
      <c r="Q7" s="493"/>
      <c r="R7" s="493"/>
      <c r="S7" s="493"/>
      <c r="T7" s="493"/>
      <c r="U7" s="493"/>
      <c r="V7" s="493"/>
      <c r="W7" s="493"/>
      <c r="X7" s="493"/>
      <c r="Y7" s="493"/>
      <c r="Z7" s="311"/>
      <c r="AA7" s="302"/>
      <c r="AC7" s="310"/>
      <c r="AD7" s="310"/>
      <c r="AE7" s="310"/>
    </row>
    <row r="8" spans="1:31" ht="10.5" customHeight="1" thickTop="1">
      <c r="A8" s="302"/>
      <c r="B8" s="306"/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  <c r="X8" s="303"/>
      <c r="Y8" s="303"/>
      <c r="Z8" s="311"/>
      <c r="AA8" s="302"/>
      <c r="AC8" s="310"/>
      <c r="AD8" s="310"/>
      <c r="AE8" s="310"/>
    </row>
    <row r="9" spans="1:31" ht="14.15" customHeight="1">
      <c r="A9" s="302"/>
      <c r="B9" s="306"/>
      <c r="C9" s="494" t="s">
        <v>192</v>
      </c>
      <c r="D9" s="494"/>
      <c r="E9" s="494"/>
      <c r="F9" s="494"/>
      <c r="G9" s="494"/>
      <c r="H9" s="494"/>
      <c r="I9" s="494"/>
      <c r="J9" s="494"/>
      <c r="K9" s="494"/>
      <c r="L9" s="494"/>
      <c r="M9" s="494"/>
      <c r="N9" s="494"/>
      <c r="O9" s="494"/>
      <c r="P9" s="494"/>
      <c r="Q9" s="494"/>
      <c r="R9" s="494"/>
      <c r="S9" s="494"/>
      <c r="T9" s="494"/>
      <c r="U9" s="494"/>
      <c r="V9" s="494"/>
      <c r="W9" s="494"/>
      <c r="X9" s="494"/>
      <c r="Y9" s="494"/>
      <c r="Z9" s="311"/>
      <c r="AA9" s="302"/>
      <c r="AC9" s="310"/>
    </row>
    <row r="10" spans="1:31" ht="14.5" customHeight="1">
      <c r="A10" s="302"/>
      <c r="B10" s="306"/>
      <c r="C10" s="495" t="str">
        <f>CONCATENATE("TAHUN PELAJARAN ",Tahun_Pelajaran)</f>
        <v>TAHUN PELAJARAN 2021/2022</v>
      </c>
      <c r="D10" s="495"/>
      <c r="E10" s="495"/>
      <c r="F10" s="495"/>
      <c r="G10" s="495"/>
      <c r="H10" s="495"/>
      <c r="I10" s="495"/>
      <c r="J10" s="495"/>
      <c r="K10" s="495"/>
      <c r="L10" s="495"/>
      <c r="M10" s="495"/>
      <c r="N10" s="495"/>
      <c r="O10" s="495"/>
      <c r="P10" s="495"/>
      <c r="Q10" s="495"/>
      <c r="R10" s="495"/>
      <c r="S10" s="495"/>
      <c r="T10" s="495"/>
      <c r="U10" s="495"/>
      <c r="V10" s="495"/>
      <c r="W10" s="495"/>
      <c r="X10" s="495"/>
      <c r="Y10" s="495"/>
      <c r="Z10" s="311"/>
      <c r="AA10" s="302"/>
      <c r="AC10" s="310"/>
    </row>
    <row r="11" spans="1:31" ht="14.5" customHeight="1">
      <c r="A11" s="302"/>
      <c r="B11" s="303"/>
      <c r="C11" s="495" t="str">
        <f>"Nomor : "&amp;SK_rapor</f>
        <v>Nomor : 421.2/xxx</v>
      </c>
      <c r="D11" s="495"/>
      <c r="E11" s="495"/>
      <c r="F11" s="495"/>
      <c r="G11" s="495"/>
      <c r="H11" s="495"/>
      <c r="I11" s="495"/>
      <c r="J11" s="495"/>
      <c r="K11" s="495"/>
      <c r="L11" s="495"/>
      <c r="M11" s="495"/>
      <c r="N11" s="495"/>
      <c r="O11" s="495"/>
      <c r="P11" s="495"/>
      <c r="Q11" s="495"/>
      <c r="R11" s="495"/>
      <c r="S11" s="495"/>
      <c r="T11" s="495"/>
      <c r="U11" s="495"/>
      <c r="V11" s="495"/>
      <c r="W11" s="495"/>
      <c r="X11" s="495"/>
      <c r="Y11" s="495"/>
      <c r="Z11" s="313"/>
      <c r="AA11" s="302"/>
      <c r="AC11" s="310"/>
    </row>
    <row r="12" spans="1:31" ht="4.5" customHeight="1">
      <c r="A12" s="302"/>
      <c r="B12" s="303"/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303"/>
      <c r="T12" s="303"/>
      <c r="U12" s="303"/>
      <c r="V12" s="303"/>
      <c r="W12" s="303"/>
      <c r="X12" s="303"/>
      <c r="Y12" s="303"/>
      <c r="Z12" s="303"/>
      <c r="AA12" s="302"/>
      <c r="AC12" s="489">
        <v>1</v>
      </c>
    </row>
    <row r="13" spans="1:31" ht="15.5">
      <c r="A13" s="302"/>
      <c r="B13" s="78"/>
      <c r="C13" s="492" t="str">
        <f>CONCATENATE("Yang bertanda tangan di bawah ini Kepala ",Nama_Sekolah,", ",Kab_Kota," ",Kabupaten," ","menerangkan bahwa:")</f>
        <v>Yang bertanda tangan di bawah ini Kepala Sekolah Dasar Negeri 1 Giriharjo, Kabupaten Wonogiri menerangkan bahwa:</v>
      </c>
      <c r="D13" s="492"/>
      <c r="E13" s="492"/>
      <c r="F13" s="492"/>
      <c r="G13" s="492"/>
      <c r="H13" s="492"/>
      <c r="I13" s="492"/>
      <c r="J13" s="492"/>
      <c r="K13" s="492"/>
      <c r="L13" s="492"/>
      <c r="M13" s="492"/>
      <c r="N13" s="492"/>
      <c r="O13" s="492"/>
      <c r="P13" s="492"/>
      <c r="Q13" s="492"/>
      <c r="R13" s="492"/>
      <c r="S13" s="492"/>
      <c r="T13" s="492"/>
      <c r="U13" s="492"/>
      <c r="V13" s="492"/>
      <c r="W13" s="492"/>
      <c r="X13" s="492"/>
      <c r="Y13" s="86"/>
      <c r="Z13" s="84"/>
      <c r="AA13" s="302"/>
      <c r="AC13" s="490"/>
      <c r="AD13" s="78"/>
      <c r="AE13" s="78"/>
    </row>
    <row r="14" spans="1:31" ht="6" customHeight="1">
      <c r="A14" s="302"/>
      <c r="B14" s="78"/>
      <c r="C14" s="78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302"/>
      <c r="AC14" s="490"/>
      <c r="AD14" s="78"/>
      <c r="AE14" s="78"/>
    </row>
    <row r="15" spans="1:31" ht="15.5">
      <c r="A15" s="314"/>
      <c r="B15" s="78"/>
      <c r="C15" s="78" t="s">
        <v>87</v>
      </c>
      <c r="D15" s="78"/>
      <c r="E15" s="151"/>
      <c r="F15" s="315" t="s">
        <v>67</v>
      </c>
      <c r="G15" s="78" t="str">
        <f>UPPER(VLOOKUP($AC$12,Data_siswa,5))</f>
        <v/>
      </c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02"/>
      <c r="AC15" s="491"/>
      <c r="AD15" s="78"/>
      <c r="AE15" s="78"/>
    </row>
    <row r="16" spans="1:31" ht="15.5">
      <c r="A16" s="314"/>
      <c r="B16" s="78"/>
      <c r="C16" s="78" t="s">
        <v>88</v>
      </c>
      <c r="D16" s="78"/>
      <c r="E16" s="78"/>
      <c r="F16" s="315" t="s">
        <v>67</v>
      </c>
      <c r="G16" s="316" t="str">
        <f>CONCATENATE(VLOOKUP($AC$12,Data_siswa,8),", ",TEXT(VLOOKUP($AC$12,Data_siswa,9),"D MMMM yyyy"))</f>
        <v>Wonogiri, 0 Januari 1900</v>
      </c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02"/>
      <c r="AC16" s="78"/>
      <c r="AD16" s="78"/>
      <c r="AE16" s="78"/>
    </row>
    <row r="17" spans="1:33" ht="15.5">
      <c r="A17" s="314"/>
      <c r="B17" s="78"/>
      <c r="C17" s="78" t="s">
        <v>183</v>
      </c>
      <c r="D17" s="78"/>
      <c r="E17" s="78"/>
      <c r="F17" s="315" t="s">
        <v>67</v>
      </c>
      <c r="G17" s="316">
        <f>VLOOKUP($AC$12,Data_siswa,10)</f>
        <v>0</v>
      </c>
      <c r="H17" s="317"/>
      <c r="I17" s="317"/>
      <c r="J17" s="317"/>
      <c r="K17" s="317"/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  <c r="W17" s="317"/>
      <c r="X17" s="317"/>
      <c r="Y17" s="317"/>
      <c r="Z17" s="317"/>
      <c r="AA17" s="302"/>
      <c r="AC17" s="78"/>
      <c r="AD17" s="78"/>
      <c r="AE17" s="78"/>
    </row>
    <row r="18" spans="1:33" ht="15.5">
      <c r="A18" s="314"/>
      <c r="B18" s="78"/>
      <c r="C18" s="78" t="s">
        <v>89</v>
      </c>
      <c r="D18" s="78"/>
      <c r="E18" s="78"/>
      <c r="F18" s="315" t="s">
        <v>67</v>
      </c>
      <c r="G18" s="316">
        <f>VLOOKUP($AC$12,Data_siswa,2)</f>
        <v>2887</v>
      </c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02"/>
      <c r="AC18" s="78"/>
      <c r="AD18" s="78"/>
      <c r="AE18" s="78"/>
    </row>
    <row r="19" spans="1:33" ht="15.5">
      <c r="A19" s="314"/>
      <c r="B19" s="78"/>
      <c r="C19" s="78" t="s">
        <v>40</v>
      </c>
      <c r="D19" s="78"/>
      <c r="E19" s="78"/>
      <c r="F19" s="315" t="s">
        <v>67</v>
      </c>
      <c r="G19" s="101">
        <f>VLOOKUP($AC$12,Data_siswa,3)</f>
        <v>0</v>
      </c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02"/>
      <c r="AC19" s="78"/>
      <c r="AD19" s="78"/>
      <c r="AE19" s="78"/>
    </row>
    <row r="20" spans="1:33" ht="15.5">
      <c r="A20" s="314"/>
      <c r="B20" s="78"/>
      <c r="C20" s="78" t="s">
        <v>30</v>
      </c>
      <c r="D20" s="78"/>
      <c r="E20" s="78"/>
      <c r="F20" s="315" t="s">
        <v>67</v>
      </c>
      <c r="G20" s="101" t="str">
        <f>SD_MI&amp;" "&amp;Nama_sekolah1</f>
        <v>Sekolah Dasar Negeri 1 Giriharjo</v>
      </c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02"/>
      <c r="AC20" s="78"/>
      <c r="AD20" s="78"/>
      <c r="AE20" s="78"/>
    </row>
    <row r="21" spans="1:33" ht="9" customHeight="1">
      <c r="A21" s="302"/>
      <c r="B21" s="303"/>
      <c r="C21" s="308"/>
      <c r="D21" s="308"/>
      <c r="E21" s="308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8"/>
      <c r="Q21" s="308"/>
      <c r="R21" s="308"/>
      <c r="S21" s="308"/>
      <c r="T21" s="308"/>
      <c r="U21" s="308"/>
      <c r="V21" s="308"/>
      <c r="W21" s="308"/>
      <c r="X21" s="308"/>
      <c r="Y21" s="308"/>
      <c r="Z21" s="308"/>
      <c r="AA21" s="302"/>
    </row>
    <row r="22" spans="1:33" ht="15.5">
      <c r="A22" s="314"/>
      <c r="B22" s="78"/>
      <c r="C22" s="524" t="s">
        <v>91</v>
      </c>
      <c r="D22" s="524" t="s">
        <v>92</v>
      </c>
      <c r="E22" s="525"/>
      <c r="F22" s="525"/>
      <c r="G22" s="525"/>
      <c r="H22" s="526"/>
      <c r="I22" s="497" t="s">
        <v>222</v>
      </c>
      <c r="J22" s="497"/>
      <c r="K22" s="498"/>
      <c r="L22" s="501" t="s">
        <v>222</v>
      </c>
      <c r="M22" s="497"/>
      <c r="N22" s="498"/>
      <c r="O22" s="501" t="s">
        <v>225</v>
      </c>
      <c r="P22" s="497"/>
      <c r="Q22" s="498"/>
      <c r="R22" s="501" t="s">
        <v>225</v>
      </c>
      <c r="S22" s="497"/>
      <c r="T22" s="498"/>
      <c r="U22" s="501" t="s">
        <v>226</v>
      </c>
      <c r="V22" s="497"/>
      <c r="W22" s="498"/>
      <c r="X22" s="512" t="s">
        <v>9</v>
      </c>
      <c r="Y22" s="512" t="s">
        <v>229</v>
      </c>
      <c r="Z22" s="78"/>
      <c r="AA22" s="314"/>
      <c r="AB22" s="308"/>
      <c r="AC22" s="78"/>
      <c r="AD22" s="151"/>
      <c r="AE22" s="151"/>
    </row>
    <row r="23" spans="1:33" ht="15.5">
      <c r="A23" s="314"/>
      <c r="B23" s="78"/>
      <c r="C23" s="530"/>
      <c r="D23" s="527"/>
      <c r="E23" s="528"/>
      <c r="F23" s="528"/>
      <c r="G23" s="528"/>
      <c r="H23" s="529"/>
      <c r="I23" s="499" t="s">
        <v>223</v>
      </c>
      <c r="J23" s="499"/>
      <c r="K23" s="500"/>
      <c r="L23" s="502" t="s">
        <v>224</v>
      </c>
      <c r="M23" s="499"/>
      <c r="N23" s="500"/>
      <c r="O23" s="502" t="s">
        <v>223</v>
      </c>
      <c r="P23" s="499"/>
      <c r="Q23" s="500"/>
      <c r="R23" s="502" t="s">
        <v>224</v>
      </c>
      <c r="S23" s="499"/>
      <c r="T23" s="500"/>
      <c r="U23" s="502" t="s">
        <v>223</v>
      </c>
      <c r="V23" s="499"/>
      <c r="W23" s="500"/>
      <c r="X23" s="513"/>
      <c r="Y23" s="513"/>
      <c r="Z23" s="78"/>
      <c r="AA23" s="314"/>
      <c r="AB23" s="308"/>
      <c r="AC23" s="78"/>
      <c r="AD23" s="151"/>
      <c r="AE23" s="151"/>
    </row>
    <row r="24" spans="1:33" ht="15.5">
      <c r="A24" s="314"/>
      <c r="B24" s="78"/>
      <c r="C24" s="527"/>
      <c r="D24" s="521" t="s">
        <v>190</v>
      </c>
      <c r="E24" s="522"/>
      <c r="F24" s="522"/>
      <c r="G24" s="522"/>
      <c r="H24" s="523"/>
      <c r="I24" s="319" t="s">
        <v>219</v>
      </c>
      <c r="J24" s="320" t="s">
        <v>220</v>
      </c>
      <c r="K24" s="320" t="s">
        <v>221</v>
      </c>
      <c r="L24" s="320" t="s">
        <v>219</v>
      </c>
      <c r="M24" s="320" t="s">
        <v>220</v>
      </c>
      <c r="N24" s="320" t="s">
        <v>221</v>
      </c>
      <c r="O24" s="320" t="s">
        <v>219</v>
      </c>
      <c r="P24" s="320" t="s">
        <v>220</v>
      </c>
      <c r="Q24" s="320" t="s">
        <v>221</v>
      </c>
      <c r="R24" s="320" t="s">
        <v>219</v>
      </c>
      <c r="S24" s="320" t="s">
        <v>220</v>
      </c>
      <c r="T24" s="320" t="s">
        <v>221</v>
      </c>
      <c r="U24" s="320" t="s">
        <v>219</v>
      </c>
      <c r="V24" s="320" t="s">
        <v>220</v>
      </c>
      <c r="W24" s="320" t="s">
        <v>221</v>
      </c>
      <c r="X24" s="514"/>
      <c r="Y24" s="514"/>
      <c r="Z24" s="78"/>
      <c r="AA24" s="314"/>
      <c r="AB24" s="308"/>
      <c r="AC24" s="78"/>
      <c r="AD24" s="151"/>
    </row>
    <row r="25" spans="1:33" ht="15.5">
      <c r="A25" s="314"/>
      <c r="B25" s="78"/>
      <c r="C25" s="515" t="s">
        <v>131</v>
      </c>
      <c r="D25" s="516"/>
      <c r="E25" s="516"/>
      <c r="F25" s="516"/>
      <c r="G25" s="516"/>
      <c r="H25" s="517"/>
      <c r="I25" s="319"/>
      <c r="J25" s="320"/>
      <c r="K25" s="404"/>
      <c r="L25" s="320"/>
      <c r="M25" s="320"/>
      <c r="N25" s="405"/>
      <c r="O25" s="320"/>
      <c r="P25" s="320"/>
      <c r="Q25" s="405"/>
      <c r="R25" s="320"/>
      <c r="S25" s="320"/>
      <c r="T25" s="405"/>
      <c r="U25" s="320"/>
      <c r="V25" s="320"/>
      <c r="W25" s="405"/>
      <c r="X25" s="321"/>
      <c r="Y25" s="321"/>
      <c r="Z25" s="78"/>
      <c r="AA25" s="314"/>
      <c r="AB25" s="308"/>
      <c r="AC25" s="78"/>
      <c r="AD25" s="151"/>
    </row>
    <row r="26" spans="1:33" ht="15.5">
      <c r="A26" s="314"/>
      <c r="B26" s="78"/>
      <c r="C26" s="322" t="s">
        <v>94</v>
      </c>
      <c r="D26" s="503" t="s">
        <v>130</v>
      </c>
      <c r="E26" s="504"/>
      <c r="F26" s="504"/>
      <c r="G26" s="504"/>
      <c r="H26" s="505"/>
      <c r="I26" s="369">
        <f t="shared" ref="I26:J31" si="0">IF(VLOOKUP($AC$12,R_KL4_1,AE26)=0,"",(VLOOKUP($AC$12,R_KL4_1,AE26)))</f>
        <v>96</v>
      </c>
      <c r="J26" s="399">
        <f t="shared" si="0"/>
        <v>88</v>
      </c>
      <c r="K26" s="420">
        <f t="shared" ref="K26:K31" si="1">IFERROR(VLOOKUP($AC$12,R_KL4_1,AG26),"")</f>
        <v>92</v>
      </c>
      <c r="L26" s="369">
        <f t="shared" ref="L26:M31" si="2">IF(VLOOKUP($AC$12,R_KL4_2,AE26)=0,"",VLOOKUP($AC$12,R_KL4_2,AE26))</f>
        <v>98</v>
      </c>
      <c r="M26" s="399">
        <f t="shared" si="2"/>
        <v>90</v>
      </c>
      <c r="N26" s="420">
        <f t="shared" ref="N26:N31" si="3">IFERROR(VLOOKUP($AC$12,R_KL4_2,AG26),"")</f>
        <v>94</v>
      </c>
      <c r="O26" s="369">
        <f t="shared" ref="O26:P31" si="4">IF(VLOOKUP($AC$12,R_KL5_1,AE26)=0,"",VLOOKUP($AC$12,R_KL5_1,AE26))</f>
        <v>93</v>
      </c>
      <c r="P26" s="399">
        <f t="shared" si="4"/>
        <v>90</v>
      </c>
      <c r="Q26" s="420">
        <f t="shared" ref="Q26:Q31" si="5">IFERROR(VLOOKUP($AC$12,R_KL5_1,AG26),"")</f>
        <v>91.5</v>
      </c>
      <c r="R26" s="369">
        <f t="shared" ref="R26:S31" si="6">IF(VLOOKUP($AC$12,R_KL5_2,AE26)=0,"",VLOOKUP($AC$12,R_KL5_2,AE26))</f>
        <v>92</v>
      </c>
      <c r="S26" s="399">
        <f t="shared" si="6"/>
        <v>83</v>
      </c>
      <c r="T26" s="420">
        <f t="shared" ref="T26:T31" si="7">IFERROR(VLOOKUP($AC$12,R_KL5_2,AG26),"")</f>
        <v>87.5</v>
      </c>
      <c r="U26" s="369">
        <f t="shared" ref="U26:V31" si="8">IF(VLOOKUP($AC$12,R_KL6_1,AE26)=0,"",VLOOKUP($AC$12,R_KL6_1,AE26))</f>
        <v>94</v>
      </c>
      <c r="V26" s="399">
        <f t="shared" si="8"/>
        <v>88</v>
      </c>
      <c r="W26" s="420">
        <f t="shared" ref="W26:W31" si="9">IFERROR(VLOOKUP($AC$12,R_KL6_1,AG26),"")</f>
        <v>91</v>
      </c>
      <c r="X26" s="509"/>
      <c r="Y26" s="509"/>
      <c r="Z26" s="78"/>
      <c r="AA26" s="314"/>
      <c r="AB26" s="308"/>
      <c r="AC26" s="78"/>
      <c r="AD26" s="151"/>
      <c r="AE26" s="305">
        <f>AF26-1</f>
        <v>5</v>
      </c>
      <c r="AF26" s="305">
        <f>AG26-1</f>
        <v>6</v>
      </c>
      <c r="AG26" s="323">
        <v>7</v>
      </c>
    </row>
    <row r="27" spans="1:33" ht="15.5">
      <c r="A27" s="314"/>
      <c r="B27" s="78"/>
      <c r="C27" s="322" t="s">
        <v>95</v>
      </c>
      <c r="D27" s="503" t="s">
        <v>102</v>
      </c>
      <c r="E27" s="504"/>
      <c r="F27" s="504"/>
      <c r="G27" s="504"/>
      <c r="H27" s="505"/>
      <c r="I27" s="369">
        <f t="shared" si="0"/>
        <v>88</v>
      </c>
      <c r="J27" s="399">
        <f t="shared" si="0"/>
        <v>89</v>
      </c>
      <c r="K27" s="420">
        <f t="shared" si="1"/>
        <v>88.5</v>
      </c>
      <c r="L27" s="369">
        <f t="shared" si="2"/>
        <v>91</v>
      </c>
      <c r="M27" s="399">
        <f t="shared" si="2"/>
        <v>89</v>
      </c>
      <c r="N27" s="420">
        <f t="shared" si="3"/>
        <v>90</v>
      </c>
      <c r="O27" s="369">
        <f t="shared" si="4"/>
        <v>86</v>
      </c>
      <c r="P27" s="399">
        <f t="shared" si="4"/>
        <v>83</v>
      </c>
      <c r="Q27" s="420">
        <f t="shared" si="5"/>
        <v>84.5</v>
      </c>
      <c r="R27" s="369">
        <f t="shared" si="6"/>
        <v>83</v>
      </c>
      <c r="S27" s="399">
        <f t="shared" si="6"/>
        <v>82</v>
      </c>
      <c r="T27" s="420">
        <f t="shared" si="7"/>
        <v>82.5</v>
      </c>
      <c r="U27" s="369">
        <f t="shared" si="8"/>
        <v>87</v>
      </c>
      <c r="V27" s="399">
        <f t="shared" si="8"/>
        <v>88</v>
      </c>
      <c r="W27" s="420">
        <f t="shared" si="9"/>
        <v>87.5</v>
      </c>
      <c r="X27" s="510"/>
      <c r="Y27" s="510"/>
      <c r="Z27" s="78"/>
      <c r="AA27" s="314"/>
      <c r="AB27" s="308"/>
      <c r="AC27" s="78"/>
      <c r="AD27" s="151"/>
      <c r="AE27" s="305">
        <f t="shared" ref="AE27:AF27" si="10">AF27-1</f>
        <v>8</v>
      </c>
      <c r="AF27" s="305">
        <f t="shared" si="10"/>
        <v>9</v>
      </c>
      <c r="AG27" s="323">
        <v>10</v>
      </c>
    </row>
    <row r="28" spans="1:33" ht="15.5">
      <c r="A28" s="314"/>
      <c r="B28" s="78"/>
      <c r="C28" s="322" t="s">
        <v>96</v>
      </c>
      <c r="D28" s="503" t="s">
        <v>60</v>
      </c>
      <c r="E28" s="504"/>
      <c r="F28" s="504"/>
      <c r="G28" s="504"/>
      <c r="H28" s="505"/>
      <c r="I28" s="369">
        <f t="shared" si="0"/>
        <v>85</v>
      </c>
      <c r="J28" s="399">
        <f t="shared" si="0"/>
        <v>88</v>
      </c>
      <c r="K28" s="420">
        <f t="shared" si="1"/>
        <v>86.5</v>
      </c>
      <c r="L28" s="369">
        <f t="shared" si="2"/>
        <v>89</v>
      </c>
      <c r="M28" s="399">
        <f t="shared" si="2"/>
        <v>89</v>
      </c>
      <c r="N28" s="420">
        <f t="shared" si="3"/>
        <v>89</v>
      </c>
      <c r="O28" s="369">
        <f t="shared" si="4"/>
        <v>81</v>
      </c>
      <c r="P28" s="399">
        <f t="shared" si="4"/>
        <v>92</v>
      </c>
      <c r="Q28" s="420">
        <f t="shared" si="5"/>
        <v>86.5</v>
      </c>
      <c r="R28" s="369">
        <f t="shared" si="6"/>
        <v>86</v>
      </c>
      <c r="S28" s="399">
        <f t="shared" si="6"/>
        <v>87</v>
      </c>
      <c r="T28" s="420">
        <f t="shared" si="7"/>
        <v>86.5</v>
      </c>
      <c r="U28" s="369">
        <f t="shared" si="8"/>
        <v>87</v>
      </c>
      <c r="V28" s="399">
        <f t="shared" si="8"/>
        <v>87</v>
      </c>
      <c r="W28" s="420">
        <f t="shared" si="9"/>
        <v>87</v>
      </c>
      <c r="X28" s="510"/>
      <c r="Y28" s="510"/>
      <c r="Z28" s="78"/>
      <c r="AA28" s="314"/>
      <c r="AB28" s="308"/>
      <c r="AC28" s="78"/>
      <c r="AD28" s="151"/>
      <c r="AE28" s="305">
        <f t="shared" ref="AE28:AF28" si="11">AF28-1</f>
        <v>11</v>
      </c>
      <c r="AF28" s="305">
        <f t="shared" si="11"/>
        <v>12</v>
      </c>
      <c r="AG28" s="323">
        <v>13</v>
      </c>
    </row>
    <row r="29" spans="1:33" ht="15.5">
      <c r="A29" s="314"/>
      <c r="B29" s="308"/>
      <c r="C29" s="322" t="s">
        <v>97</v>
      </c>
      <c r="D29" s="503" t="s">
        <v>103</v>
      </c>
      <c r="E29" s="504"/>
      <c r="F29" s="504"/>
      <c r="G29" s="504"/>
      <c r="H29" s="505"/>
      <c r="I29" s="369">
        <f t="shared" si="0"/>
        <v>82</v>
      </c>
      <c r="J29" s="399">
        <f t="shared" si="0"/>
        <v>86</v>
      </c>
      <c r="K29" s="420">
        <f t="shared" si="1"/>
        <v>84</v>
      </c>
      <c r="L29" s="369">
        <f t="shared" si="2"/>
        <v>87</v>
      </c>
      <c r="M29" s="399">
        <f t="shared" si="2"/>
        <v>85</v>
      </c>
      <c r="N29" s="420">
        <f t="shared" si="3"/>
        <v>86</v>
      </c>
      <c r="O29" s="369">
        <f t="shared" si="4"/>
        <v>75</v>
      </c>
      <c r="P29" s="399">
        <f t="shared" si="4"/>
        <v>75</v>
      </c>
      <c r="Q29" s="420">
        <f t="shared" si="5"/>
        <v>75</v>
      </c>
      <c r="R29" s="369">
        <f t="shared" si="6"/>
        <v>76</v>
      </c>
      <c r="S29" s="399">
        <f t="shared" si="6"/>
        <v>70</v>
      </c>
      <c r="T29" s="420">
        <f t="shared" si="7"/>
        <v>73</v>
      </c>
      <c r="U29" s="369">
        <f t="shared" si="8"/>
        <v>83</v>
      </c>
      <c r="V29" s="399">
        <f t="shared" si="8"/>
        <v>86</v>
      </c>
      <c r="W29" s="420">
        <f t="shared" si="9"/>
        <v>84.5</v>
      </c>
      <c r="X29" s="510"/>
      <c r="Y29" s="510"/>
      <c r="Z29" s="308"/>
      <c r="AA29" s="314"/>
      <c r="AB29" s="308"/>
      <c r="AC29" s="324" t="s">
        <v>209</v>
      </c>
      <c r="AD29" s="325"/>
      <c r="AE29" s="305">
        <f t="shared" ref="AE29:AF29" si="12">AF29-1</f>
        <v>14</v>
      </c>
      <c r="AF29" s="305">
        <f t="shared" si="12"/>
        <v>15</v>
      </c>
      <c r="AG29" s="323">
        <v>16</v>
      </c>
    </row>
    <row r="30" spans="1:33" ht="15.5">
      <c r="A30" s="314"/>
      <c r="B30" s="308"/>
      <c r="C30" s="322" t="s">
        <v>98</v>
      </c>
      <c r="D30" s="503" t="s">
        <v>104</v>
      </c>
      <c r="E30" s="504"/>
      <c r="F30" s="504"/>
      <c r="G30" s="504"/>
      <c r="H30" s="505"/>
      <c r="I30" s="369">
        <f t="shared" si="0"/>
        <v>81</v>
      </c>
      <c r="J30" s="399">
        <f t="shared" si="0"/>
        <v>87</v>
      </c>
      <c r="K30" s="420">
        <f t="shared" si="1"/>
        <v>84</v>
      </c>
      <c r="L30" s="369">
        <f t="shared" si="2"/>
        <v>85</v>
      </c>
      <c r="M30" s="399">
        <f t="shared" si="2"/>
        <v>82</v>
      </c>
      <c r="N30" s="420">
        <f t="shared" si="3"/>
        <v>83.5</v>
      </c>
      <c r="O30" s="369">
        <f t="shared" si="4"/>
        <v>81</v>
      </c>
      <c r="P30" s="399">
        <f t="shared" si="4"/>
        <v>80</v>
      </c>
      <c r="Q30" s="420">
        <f t="shared" si="5"/>
        <v>80.5</v>
      </c>
      <c r="R30" s="369">
        <f t="shared" si="6"/>
        <v>84</v>
      </c>
      <c r="S30" s="399">
        <f t="shared" si="6"/>
        <v>81</v>
      </c>
      <c r="T30" s="420">
        <f t="shared" si="7"/>
        <v>82.5</v>
      </c>
      <c r="U30" s="369">
        <f t="shared" si="8"/>
        <v>84</v>
      </c>
      <c r="V30" s="399">
        <f t="shared" si="8"/>
        <v>84</v>
      </c>
      <c r="W30" s="420">
        <f t="shared" si="9"/>
        <v>84</v>
      </c>
      <c r="X30" s="510"/>
      <c r="Y30" s="510"/>
      <c r="Z30" s="308"/>
      <c r="AA30" s="314"/>
      <c r="AB30" s="308"/>
      <c r="AC30" s="324" t="s">
        <v>210</v>
      </c>
      <c r="AD30" s="325"/>
      <c r="AE30" s="305">
        <f t="shared" ref="AE30:AF30" si="13">AF30-1</f>
        <v>17</v>
      </c>
      <c r="AF30" s="305">
        <f t="shared" si="13"/>
        <v>18</v>
      </c>
      <c r="AG30" s="323">
        <v>19</v>
      </c>
    </row>
    <row r="31" spans="1:33" ht="15.5">
      <c r="A31" s="314"/>
      <c r="B31" s="308"/>
      <c r="C31" s="322" t="s">
        <v>99</v>
      </c>
      <c r="D31" s="503" t="s">
        <v>105</v>
      </c>
      <c r="E31" s="504"/>
      <c r="F31" s="504"/>
      <c r="G31" s="504"/>
      <c r="H31" s="505"/>
      <c r="I31" s="369">
        <f t="shared" si="0"/>
        <v>82</v>
      </c>
      <c r="J31" s="399">
        <f t="shared" si="0"/>
        <v>84</v>
      </c>
      <c r="K31" s="420">
        <f t="shared" si="1"/>
        <v>83</v>
      </c>
      <c r="L31" s="369">
        <f t="shared" si="2"/>
        <v>82</v>
      </c>
      <c r="M31" s="399">
        <f t="shared" si="2"/>
        <v>83</v>
      </c>
      <c r="N31" s="420">
        <f t="shared" si="3"/>
        <v>82.5</v>
      </c>
      <c r="O31" s="369">
        <f t="shared" si="4"/>
        <v>91</v>
      </c>
      <c r="P31" s="399">
        <f t="shared" si="4"/>
        <v>87</v>
      </c>
      <c r="Q31" s="420">
        <f t="shared" si="5"/>
        <v>89</v>
      </c>
      <c r="R31" s="369">
        <f t="shared" si="6"/>
        <v>85</v>
      </c>
      <c r="S31" s="399">
        <f t="shared" si="6"/>
        <v>83</v>
      </c>
      <c r="T31" s="420">
        <f t="shared" si="7"/>
        <v>84</v>
      </c>
      <c r="U31" s="369">
        <f t="shared" si="8"/>
        <v>82</v>
      </c>
      <c r="V31" s="399">
        <f t="shared" si="8"/>
        <v>87</v>
      </c>
      <c r="W31" s="420">
        <f t="shared" si="9"/>
        <v>84.5</v>
      </c>
      <c r="X31" s="510"/>
      <c r="Y31" s="510"/>
      <c r="Z31" s="308"/>
      <c r="AA31" s="314"/>
      <c r="AB31" s="308"/>
      <c r="AC31" s="324" t="s">
        <v>211</v>
      </c>
      <c r="AD31" s="325"/>
      <c r="AE31" s="305">
        <f t="shared" ref="AE31:AF31" si="14">AF31-1</f>
        <v>20</v>
      </c>
      <c r="AF31" s="305">
        <f t="shared" si="14"/>
        <v>21</v>
      </c>
      <c r="AG31" s="323">
        <v>22</v>
      </c>
    </row>
    <row r="32" spans="1:33" ht="15.5">
      <c r="A32" s="314"/>
      <c r="B32" s="308"/>
      <c r="C32" s="518" t="s">
        <v>132</v>
      </c>
      <c r="D32" s="519"/>
      <c r="E32" s="519"/>
      <c r="F32" s="519"/>
      <c r="G32" s="519"/>
      <c r="H32" s="520"/>
      <c r="I32" s="369"/>
      <c r="J32" s="399"/>
      <c r="K32" s="420"/>
      <c r="L32" s="369"/>
      <c r="M32" s="399"/>
      <c r="N32" s="420"/>
      <c r="O32" s="369"/>
      <c r="P32" s="399"/>
      <c r="Q32" s="420"/>
      <c r="R32" s="369"/>
      <c r="S32" s="399"/>
      <c r="T32" s="420"/>
      <c r="U32" s="369"/>
      <c r="V32" s="399"/>
      <c r="W32" s="420"/>
      <c r="X32" s="510"/>
      <c r="Y32" s="510"/>
      <c r="Z32" s="308"/>
      <c r="AA32" s="314"/>
      <c r="AB32" s="308"/>
      <c r="AC32" s="324"/>
      <c r="AD32" s="325"/>
      <c r="AE32" s="305"/>
      <c r="AG32" s="323"/>
    </row>
    <row r="33" spans="1:33" ht="15.5">
      <c r="A33" s="314"/>
      <c r="B33" s="308"/>
      <c r="C33" s="322" t="s">
        <v>94</v>
      </c>
      <c r="D33" s="503" t="s">
        <v>133</v>
      </c>
      <c r="E33" s="504"/>
      <c r="F33" s="504"/>
      <c r="G33" s="504"/>
      <c r="H33" s="505"/>
      <c r="I33" s="369">
        <f>IF(VLOOKUP($AC$12,R_KL4_1,AE33)=0,"",(VLOOKUP($AC$12,R_KL4_1,AE33)))</f>
        <v>84</v>
      </c>
      <c r="J33" s="399">
        <f>IF(VLOOKUP($AC$12,R_KL4_1,AF33)=0,"",VLOOKUP($AC$12,R_KL4_1,AF33))</f>
        <v>88</v>
      </c>
      <c r="K33" s="420">
        <f>IFERROR(VLOOKUP($AC$12,R_KL4_1,AG33),"")</f>
        <v>86</v>
      </c>
      <c r="L33" s="369">
        <f>IF(VLOOKUP($AC$12,R_KL4_2,AE33)=0,"",VLOOKUP($AC$12,R_KL4_2,AE33))</f>
        <v>86</v>
      </c>
      <c r="M33" s="399">
        <f>IF(VLOOKUP($AC$12,R_KL4_2,AF33)=0,"",VLOOKUP($AC$12,R_KL4_2,AF33))</f>
        <v>84</v>
      </c>
      <c r="N33" s="420">
        <f>IFERROR(VLOOKUP($AC$12,R_KL4_2,AG33),"")</f>
        <v>85</v>
      </c>
      <c r="O33" s="369">
        <f>IF(VLOOKUP($AC$12,R_KL5_1,AE33)=0,"",VLOOKUP($AC$12,R_KL5_1,AE33))</f>
        <v>86</v>
      </c>
      <c r="P33" s="399">
        <f>IF(VLOOKUP($AC$12,R_KL5_1,AF33)=0,"",VLOOKUP($AC$12,R_KL5_1,AF33))</f>
        <v>89</v>
      </c>
      <c r="Q33" s="420">
        <f>IFERROR(VLOOKUP($AC$12,R_KL5_1,AG33),"")</f>
        <v>87.5</v>
      </c>
      <c r="R33" s="369">
        <f>IF(VLOOKUP($AC$12,R_KL5_2,AE33)=0,"",VLOOKUP($AC$12,R_KL5_2,AE33))</f>
        <v>80</v>
      </c>
      <c r="S33" s="399">
        <f>IF(VLOOKUP($AC$12,R_KL5_2,AF33)=0,"",VLOOKUP($AC$12,R_KL5_2,AF33))</f>
        <v>86</v>
      </c>
      <c r="T33" s="420">
        <f>IFERROR(VLOOKUP($AC$12,R_KL5_2,AG33),"")</f>
        <v>83</v>
      </c>
      <c r="U33" s="369">
        <f>IF(VLOOKUP($AC$12,R_KL6_1,AE33)=0,"",VLOOKUP($AC$12,R_KL6_1,AE33))</f>
        <v>84</v>
      </c>
      <c r="V33" s="399">
        <f>IF(VLOOKUP($AC$12,R_KL6_1,AF33)=0,"",VLOOKUP($AC$12,R_KL6_1,AF33))</f>
        <v>85</v>
      </c>
      <c r="W33" s="420">
        <f>IFERROR(VLOOKUP($AC$12,R_KL6_1,AG33),"")</f>
        <v>84.5</v>
      </c>
      <c r="X33" s="510"/>
      <c r="Y33" s="510"/>
      <c r="Z33" s="308"/>
      <c r="AA33" s="314"/>
      <c r="AB33" s="308"/>
      <c r="AC33" s="325"/>
      <c r="AD33" s="325"/>
      <c r="AE33" s="305">
        <f t="shared" ref="AE33:AF33" si="15">AF33-1</f>
        <v>23</v>
      </c>
      <c r="AF33" s="305">
        <f t="shared" si="15"/>
        <v>24</v>
      </c>
      <c r="AG33" s="323">
        <v>25</v>
      </c>
    </row>
    <row r="34" spans="1:33" ht="15.5">
      <c r="A34" s="314"/>
      <c r="B34" s="308"/>
      <c r="C34" s="322" t="s">
        <v>95</v>
      </c>
      <c r="D34" s="503" t="s">
        <v>228</v>
      </c>
      <c r="E34" s="504"/>
      <c r="F34" s="504"/>
      <c r="G34" s="504"/>
      <c r="H34" s="505"/>
      <c r="I34" s="369">
        <f>IF(VLOOKUP($AC$12,R_KL4_1,AE34)=0,"",(VLOOKUP($AC$12,R_KL4_1,AE34)))</f>
        <v>81</v>
      </c>
      <c r="J34" s="399">
        <f>IF(VLOOKUP($AC$12,R_KL4_1,AF34)=0,"",VLOOKUP($AC$12,R_KL4_1,AF34))</f>
        <v>89</v>
      </c>
      <c r="K34" s="420">
        <f>IFERROR(VLOOKUP($AC$12,R_KL4_1,AG34),"")</f>
        <v>85</v>
      </c>
      <c r="L34" s="369">
        <f>IF(VLOOKUP($AC$12,R_KL4_2,AE34)=0,"",VLOOKUP($AC$12,R_KL4_2,AE34))</f>
        <v>94</v>
      </c>
      <c r="M34" s="399">
        <f>IF(VLOOKUP($AC$12,R_KL4_2,AF34)=0,"",VLOOKUP($AC$12,R_KL4_2,AF34))</f>
        <v>90</v>
      </c>
      <c r="N34" s="420">
        <f>IFERROR(VLOOKUP($AC$12,R_KL4_2,AG34),"")</f>
        <v>92</v>
      </c>
      <c r="O34" s="369">
        <f>IF(VLOOKUP($AC$12,R_KL5_1,AE34)=0,"",VLOOKUP($AC$12,R_KL5_1,AE34))</f>
        <v>86</v>
      </c>
      <c r="P34" s="399">
        <f>IF(VLOOKUP($AC$12,R_KL5_1,AF34)=0,"",VLOOKUP($AC$12,R_KL5_1,AF34))</f>
        <v>82</v>
      </c>
      <c r="Q34" s="420">
        <f>IFERROR(VLOOKUP($AC$12,R_KL5_1,AG34),"")</f>
        <v>84</v>
      </c>
      <c r="R34" s="369">
        <f>IF(VLOOKUP($AC$12,R_KL5_2,AE34)=0,"",VLOOKUP($AC$12,R_KL5_2,AE34))</f>
        <v>89</v>
      </c>
      <c r="S34" s="399">
        <f>IF(VLOOKUP($AC$12,R_KL5_2,AF34)=0,"",VLOOKUP($AC$12,R_KL5_2,AF34))</f>
        <v>82</v>
      </c>
      <c r="T34" s="420">
        <f>IFERROR(VLOOKUP($AC$12,R_KL5_2,AG34),"")</f>
        <v>85.5</v>
      </c>
      <c r="U34" s="369">
        <f>IF(VLOOKUP($AC$12,R_KL6_1,AE34)=0,"",VLOOKUP($AC$12,R_KL6_1,AE34))</f>
        <v>89</v>
      </c>
      <c r="V34" s="399">
        <f>IF(VLOOKUP($AC$12,R_KL6_1,AF34)=0,"",VLOOKUP($AC$12,R_KL6_1,AF34))</f>
        <v>90</v>
      </c>
      <c r="W34" s="420">
        <f>IFERROR(VLOOKUP($AC$12,R_KL6_1,AG34),"")</f>
        <v>89.5</v>
      </c>
      <c r="X34" s="510"/>
      <c r="Y34" s="510"/>
      <c r="Z34" s="308"/>
      <c r="AA34" s="314"/>
      <c r="AB34" s="308"/>
      <c r="AC34" s="325"/>
      <c r="AD34" s="325"/>
      <c r="AE34" s="305">
        <f t="shared" ref="AE34:AF34" si="16">AF34-1</f>
        <v>26</v>
      </c>
      <c r="AF34" s="305">
        <f t="shared" si="16"/>
        <v>27</v>
      </c>
      <c r="AG34" s="323">
        <v>28</v>
      </c>
    </row>
    <row r="35" spans="1:33" ht="15.5">
      <c r="A35" s="314"/>
      <c r="B35" s="308"/>
      <c r="C35" s="322" t="s">
        <v>96</v>
      </c>
      <c r="D35" s="503" t="s">
        <v>100</v>
      </c>
      <c r="E35" s="504"/>
      <c r="F35" s="504"/>
      <c r="G35" s="504"/>
      <c r="H35" s="505"/>
      <c r="I35" s="369"/>
      <c r="J35" s="399"/>
      <c r="K35" s="420"/>
      <c r="L35" s="369"/>
      <c r="M35" s="399"/>
      <c r="N35" s="420"/>
      <c r="O35" s="369"/>
      <c r="P35" s="399"/>
      <c r="Q35" s="420"/>
      <c r="R35" s="369"/>
      <c r="S35" s="399"/>
      <c r="T35" s="420"/>
      <c r="U35" s="369"/>
      <c r="V35" s="399"/>
      <c r="W35" s="420"/>
      <c r="X35" s="510"/>
      <c r="Y35" s="510"/>
      <c r="Z35" s="308"/>
      <c r="AA35" s="314"/>
      <c r="AB35" s="308"/>
      <c r="AC35" s="325"/>
      <c r="AD35" s="325"/>
      <c r="AE35" s="305"/>
      <c r="AG35" s="304"/>
    </row>
    <row r="36" spans="1:33" ht="15.5">
      <c r="A36" s="314"/>
      <c r="B36" s="308"/>
      <c r="C36" s="326"/>
      <c r="D36" s="503" t="str">
        <f>"a. "&amp;PENGATURAN!F16</f>
        <v>a. Bahasa Jawa</v>
      </c>
      <c r="E36" s="504"/>
      <c r="F36" s="504"/>
      <c r="G36" s="504"/>
      <c r="H36" s="505"/>
      <c r="I36" s="369">
        <f>IF(VLOOKUP($AC$12,R_KL4_1,AE36)=0,"",(VLOOKUP($AC$12,R_KL4_1,AE36)))</f>
        <v>83</v>
      </c>
      <c r="J36" s="399">
        <f>IF(VLOOKUP($AC$12,R_KL4_1,AF36)=0,"",VLOOKUP($AC$12,R_KL4_1,AF36))</f>
        <v>87</v>
      </c>
      <c r="K36" s="420">
        <f>IFERROR(VLOOKUP($AC$12,R_KL4_1,AG36),"")</f>
        <v>85</v>
      </c>
      <c r="L36" s="369">
        <f>IF(VLOOKUP($AC$12,R_KL4_2,AE36)=0,"",VLOOKUP($AC$12,R_KL4_2,AE36))</f>
        <v>90</v>
      </c>
      <c r="M36" s="399">
        <f>IF(VLOOKUP($AC$12,R_KL4_2,AF36)=0,"",VLOOKUP($AC$12,R_KL4_2,AF36))</f>
        <v>90</v>
      </c>
      <c r="N36" s="420">
        <f>IFERROR(VLOOKUP($AC$12,R_KL4_2,AG36),"")</f>
        <v>90</v>
      </c>
      <c r="O36" s="369">
        <f>IF(VLOOKUP($AC$12,R_KL5_1,AE36)=0,"",VLOOKUP($AC$12,R_KL5_1,AE36))</f>
        <v>87</v>
      </c>
      <c r="P36" s="399">
        <f>IF(VLOOKUP($AC$12,R_KL5_1,AF36)=0,"",VLOOKUP($AC$12,R_KL5_1,AF36))</f>
        <v>81</v>
      </c>
      <c r="Q36" s="420">
        <f>IFERROR(VLOOKUP($AC$12,R_KL5_1,AG36),"")</f>
        <v>84</v>
      </c>
      <c r="R36" s="369">
        <f>IF(VLOOKUP($AC$12,R_KL5_2,AE36)=0,"",VLOOKUP($AC$12,R_KL5_2,AE36))</f>
        <v>78</v>
      </c>
      <c r="S36" s="399">
        <f>IF(VLOOKUP($AC$12,R_KL5_2,AF36)=0,"",VLOOKUP($AC$12,R_KL5_2,AF36))</f>
        <v>82</v>
      </c>
      <c r="T36" s="420">
        <f>IFERROR(ROUND(VLOOKUP($AC$12,R_KL5_2,AG36),Digit_rata_rapor),"")</f>
        <v>80</v>
      </c>
      <c r="U36" s="369">
        <f>IF(VLOOKUP($AC$12,R_KL6_1,AE36)=0,"",VLOOKUP($AC$12,R_KL6_1,AE36))</f>
        <v>85</v>
      </c>
      <c r="V36" s="399">
        <f>IF(VLOOKUP($AC$12,R_KL6_1,AF36)=0,"",VLOOKUP($AC$12,R_KL6_1,AF36))</f>
        <v>84</v>
      </c>
      <c r="W36" s="420">
        <f>IFERROR(VLOOKUP($AC$12,R_KL6_1,AG36),"")</f>
        <v>84.5</v>
      </c>
      <c r="X36" s="511"/>
      <c r="Y36" s="511"/>
      <c r="Z36" s="308"/>
      <c r="AA36" s="314"/>
      <c r="AB36" s="308"/>
      <c r="AC36" s="325"/>
      <c r="AD36" s="325"/>
      <c r="AE36" s="305">
        <f t="shared" ref="AE36:AF36" si="17">AF36-1</f>
        <v>29</v>
      </c>
      <c r="AF36" s="305">
        <f t="shared" si="17"/>
        <v>30</v>
      </c>
      <c r="AG36" s="323">
        <v>31</v>
      </c>
    </row>
    <row r="37" spans="1:33" ht="23" customHeight="1">
      <c r="A37" s="314"/>
      <c r="B37" s="308"/>
      <c r="C37" s="506" t="s">
        <v>101</v>
      </c>
      <c r="D37" s="507"/>
      <c r="E37" s="507"/>
      <c r="F37" s="507"/>
      <c r="G37" s="507"/>
      <c r="H37" s="508"/>
      <c r="I37" s="369"/>
      <c r="J37" s="399"/>
      <c r="K37" s="408">
        <f>IFERROR(ROUND(AVERAGE(K26:K36),'KIRIM DINAS-PPDB'!$AA$8),"")</f>
        <v>86</v>
      </c>
      <c r="L37" s="408"/>
      <c r="M37" s="408"/>
      <c r="N37" s="408">
        <f>IFERROR(ROUND(AVERAGE(N26:N36),'KIRIM DINAS-PPDB'!$AA$8),"")</f>
        <v>88</v>
      </c>
      <c r="O37" s="408"/>
      <c r="P37" s="408"/>
      <c r="Q37" s="408">
        <f>IFERROR(ROUND(AVERAGE(Q26:Q36),'KIRIM DINAS-PPDB'!$AA$8),"")</f>
        <v>84.72</v>
      </c>
      <c r="R37" s="408"/>
      <c r="S37" s="408"/>
      <c r="T37" s="408">
        <f>IFERROR(ROUND(AVERAGE(T26:T36),'KIRIM DINAS-PPDB'!$AA$8),"")</f>
        <v>82.72</v>
      </c>
      <c r="U37" s="408"/>
      <c r="V37" s="408"/>
      <c r="W37" s="408">
        <f>IFERROR(ROUND(AVERAGE(W26:W36),'KIRIM DINAS-PPDB'!$AA$8),"")</f>
        <v>86.33</v>
      </c>
      <c r="X37" s="408">
        <f>IFERROR(ROUND(SUM(K37,N37,Q37,T37,W37),'KIRIM DINAS-PPDB'!$AA$9),"")</f>
        <v>427.77</v>
      </c>
      <c r="Y37" s="408">
        <f>IF(IFERROR(VLOOKUP($AC$12,Peringkat_rapor,2),"")&gt;'Data Siswa'!C54/2,"",IFERROR(VLOOKUP($AC$12,Peringkat_rapor,2),""))</f>
        <v>5</v>
      </c>
      <c r="Z37" s="308"/>
      <c r="AA37" s="314"/>
      <c r="AB37" s="308"/>
      <c r="AC37" s="325"/>
      <c r="AD37" s="325"/>
      <c r="AE37" s="305"/>
      <c r="AG37" s="323"/>
    </row>
    <row r="38" spans="1:33" ht="14.5" customHeight="1">
      <c r="A38" s="314"/>
      <c r="B38" s="308"/>
      <c r="C38" s="327"/>
      <c r="D38" s="327"/>
      <c r="E38" s="327"/>
      <c r="F38" s="327"/>
      <c r="G38" s="327"/>
      <c r="H38" s="327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328"/>
      <c r="U38" s="328"/>
      <c r="V38" s="328"/>
      <c r="W38" s="328"/>
      <c r="X38" s="329"/>
      <c r="Y38" s="329"/>
      <c r="Z38" s="308"/>
      <c r="AA38" s="314"/>
      <c r="AB38" s="308"/>
      <c r="AC38" s="325"/>
      <c r="AD38" s="325"/>
      <c r="AE38" s="325"/>
    </row>
    <row r="39" spans="1:33" ht="14.5" customHeight="1">
      <c r="A39" s="314"/>
      <c r="B39" s="308"/>
      <c r="C39" s="496" t="s">
        <v>193</v>
      </c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147"/>
      <c r="Z39" s="95"/>
      <c r="AA39" s="314"/>
      <c r="AB39" s="308"/>
      <c r="AC39" s="325"/>
      <c r="AD39" s="325"/>
      <c r="AE39" s="325"/>
    </row>
    <row r="40" spans="1:33" ht="14.5" customHeight="1">
      <c r="A40" s="314"/>
      <c r="B40" s="308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95"/>
      <c r="AA40" s="314"/>
      <c r="AB40" s="308"/>
      <c r="AC40" s="325"/>
      <c r="AD40" s="325"/>
      <c r="AE40" s="325"/>
    </row>
    <row r="41" spans="1:33" ht="32.15" customHeight="1">
      <c r="A41" s="314"/>
      <c r="B41" s="308"/>
      <c r="C41" s="308"/>
      <c r="D41" s="308"/>
      <c r="E41" s="308"/>
      <c r="F41" s="308"/>
      <c r="G41" s="308"/>
      <c r="H41" s="308"/>
      <c r="I41" s="308"/>
      <c r="J41" s="308"/>
      <c r="K41" s="308"/>
      <c r="L41" s="308"/>
      <c r="M41" s="308"/>
      <c r="N41" s="308"/>
      <c r="O41" s="308"/>
      <c r="P41" s="308"/>
      <c r="R41" s="325"/>
      <c r="S41" s="378" t="str">
        <f>Kabupaten&amp;", "&amp;TEXT(Tgl_rapor,"DD MMMM YYYY")</f>
        <v>Wonogiri, 15 Juni 2022</v>
      </c>
      <c r="T41" s="331"/>
      <c r="U41" s="308"/>
      <c r="V41" s="308"/>
      <c r="W41" s="308"/>
      <c r="X41" s="308"/>
      <c r="Y41" s="308"/>
      <c r="Z41" s="308"/>
      <c r="AA41" s="314"/>
      <c r="AB41" s="308"/>
      <c r="AC41" s="325"/>
      <c r="AD41" s="325"/>
      <c r="AE41" s="325"/>
    </row>
    <row r="42" spans="1:33" ht="14.5" customHeight="1">
      <c r="A42" s="314"/>
      <c r="B42" s="308"/>
      <c r="C42" s="308"/>
      <c r="D42" s="308"/>
      <c r="E42" s="308"/>
      <c r="F42" s="308"/>
      <c r="G42" s="308"/>
      <c r="H42" s="308"/>
      <c r="I42" s="308"/>
      <c r="J42" s="308"/>
      <c r="K42" s="308"/>
      <c r="L42" s="308"/>
      <c r="M42" s="308"/>
      <c r="N42" s="308"/>
      <c r="O42" s="308"/>
      <c r="P42" s="308"/>
      <c r="R42" s="325"/>
      <c r="S42" s="330" t="str">
        <f>UPPER("Kepala "&amp;Nama_Sekolah)</f>
        <v>KEPALA SEKOLAH DASAR NEGERI 1 GIRIHARJO</v>
      </c>
      <c r="T42" s="331"/>
      <c r="U42" s="308"/>
      <c r="V42" s="308"/>
      <c r="W42" s="308"/>
      <c r="X42" s="325"/>
      <c r="Y42" s="325"/>
      <c r="Z42" s="308"/>
      <c r="AA42" s="314"/>
      <c r="AB42" s="308"/>
      <c r="AC42" s="325"/>
      <c r="AD42" s="325"/>
      <c r="AE42" s="325"/>
    </row>
    <row r="43" spans="1:33" ht="14.5" customHeight="1">
      <c r="A43" s="314"/>
      <c r="B43" s="308"/>
      <c r="C43" s="308"/>
      <c r="D43" s="308"/>
      <c r="E43" s="308"/>
      <c r="F43" s="308"/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R43" s="325"/>
      <c r="S43" s="330" t="str">
        <f>UPPER(Kab_Kota&amp;" "&amp;Kabupaten&amp;",")</f>
        <v>KABUPATEN WONOGIRI,</v>
      </c>
      <c r="T43" s="331"/>
      <c r="U43" s="308"/>
      <c r="V43" s="308"/>
      <c r="W43" s="308"/>
      <c r="X43" s="325"/>
      <c r="Y43" s="325"/>
      <c r="Z43" s="308"/>
      <c r="AA43" s="314"/>
      <c r="AB43" s="308"/>
      <c r="AC43" s="325"/>
      <c r="AD43" s="325"/>
      <c r="AE43" s="325"/>
    </row>
    <row r="44" spans="1:33" ht="14.5" customHeight="1">
      <c r="A44" s="314"/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R44" s="325"/>
      <c r="S44" s="330"/>
      <c r="T44" s="331"/>
      <c r="U44" s="308"/>
      <c r="V44" s="308"/>
      <c r="W44" s="308"/>
      <c r="X44" s="325"/>
      <c r="Y44" s="325"/>
      <c r="Z44" s="308"/>
      <c r="AA44" s="314"/>
      <c r="AB44" s="308"/>
      <c r="AC44" s="325"/>
      <c r="AD44" s="325"/>
      <c r="AE44" s="325"/>
    </row>
    <row r="45" spans="1:33" ht="14.5" customHeight="1">
      <c r="A45" s="314"/>
      <c r="B45" s="308"/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R45" s="325"/>
      <c r="S45" s="330"/>
      <c r="T45" s="331"/>
      <c r="U45" s="308"/>
      <c r="V45" s="308"/>
      <c r="W45" s="308"/>
      <c r="X45" s="325"/>
      <c r="Y45" s="325"/>
      <c r="Z45" s="308"/>
      <c r="AA45" s="314"/>
      <c r="AB45" s="308"/>
      <c r="AC45" s="325"/>
      <c r="AD45" s="325"/>
      <c r="AE45" s="325"/>
    </row>
    <row r="46" spans="1:33" ht="14.5" customHeight="1">
      <c r="A46" s="314"/>
      <c r="B46" s="308"/>
      <c r="C46" s="308"/>
      <c r="D46" s="308"/>
      <c r="E46" s="308"/>
      <c r="F46" s="308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R46" s="325"/>
      <c r="S46" s="330"/>
      <c r="T46" s="331"/>
      <c r="U46" s="308"/>
      <c r="V46" s="308"/>
      <c r="W46" s="308"/>
      <c r="X46" s="325"/>
      <c r="Y46" s="325"/>
      <c r="Z46" s="308"/>
      <c r="AA46" s="314"/>
      <c r="AB46" s="308"/>
      <c r="AC46" s="325"/>
      <c r="AD46" s="325"/>
      <c r="AE46" s="325"/>
    </row>
    <row r="47" spans="1:33" ht="14.5" customHeight="1">
      <c r="A47" s="314"/>
      <c r="B47" s="308"/>
      <c r="C47" s="308"/>
      <c r="D47" s="308"/>
      <c r="E47" s="308"/>
      <c r="F47" s="308"/>
      <c r="G47" s="308"/>
      <c r="H47" s="308"/>
      <c r="I47" s="308"/>
      <c r="J47" s="308"/>
      <c r="K47" s="308"/>
      <c r="L47" s="308"/>
      <c r="M47" s="308"/>
      <c r="N47" s="308"/>
      <c r="O47" s="308"/>
      <c r="P47" s="308"/>
      <c r="R47" s="325"/>
      <c r="S47" s="332">
        <f>Kepsek</f>
        <v>0</v>
      </c>
      <c r="T47" s="331"/>
      <c r="U47" s="308"/>
      <c r="V47" s="308"/>
      <c r="W47" s="308"/>
      <c r="X47" s="325"/>
      <c r="Y47" s="325"/>
      <c r="Z47" s="308"/>
      <c r="AA47" s="314"/>
      <c r="AB47" s="308"/>
      <c r="AC47" s="325"/>
      <c r="AD47" s="325"/>
      <c r="AE47" s="325"/>
    </row>
    <row r="48" spans="1:33" ht="14.5" customHeight="1">
      <c r="A48" s="314"/>
      <c r="B48" s="308"/>
      <c r="C48" s="308"/>
      <c r="D48" s="308"/>
      <c r="E48" s="308"/>
      <c r="F48" s="308"/>
      <c r="G48" s="308"/>
      <c r="H48" s="308"/>
      <c r="I48" s="308"/>
      <c r="J48" s="308"/>
      <c r="K48" s="308"/>
      <c r="L48" s="308"/>
      <c r="M48" s="308"/>
      <c r="N48" s="308"/>
      <c r="O48" s="308"/>
      <c r="P48" s="308"/>
      <c r="R48" s="325"/>
      <c r="S48" s="334" t="str">
        <f>IF(Pangkat_gol="","",Pangkat_gol)</f>
        <v/>
      </c>
      <c r="T48" s="331"/>
      <c r="U48" s="308"/>
      <c r="V48" s="308"/>
      <c r="W48" s="308"/>
      <c r="X48" s="325"/>
      <c r="Y48" s="325"/>
      <c r="Z48" s="308"/>
      <c r="AA48" s="314"/>
      <c r="AB48" s="308"/>
      <c r="AC48" s="325"/>
      <c r="AD48" s="325"/>
      <c r="AE48" s="325"/>
    </row>
    <row r="49" spans="1:31" ht="14.5" customHeight="1">
      <c r="A49" s="314"/>
      <c r="B49" s="308"/>
      <c r="C49" s="308"/>
      <c r="D49" s="308"/>
      <c r="E49" s="308"/>
      <c r="F49" s="308"/>
      <c r="G49" s="308"/>
      <c r="H49" s="308"/>
      <c r="I49" s="308"/>
      <c r="J49" s="308"/>
      <c r="K49" s="308"/>
      <c r="L49" s="308"/>
      <c r="M49" s="308"/>
      <c r="N49" s="308"/>
      <c r="O49" s="308"/>
      <c r="P49" s="308"/>
      <c r="R49" s="325"/>
      <c r="S49" s="335" t="str">
        <f>IF(NIP_Kepsek="","",NIP_Kepsek)</f>
        <v/>
      </c>
      <c r="T49" s="331"/>
      <c r="U49" s="308"/>
      <c r="V49" s="308"/>
      <c r="W49" s="308"/>
      <c r="X49" s="325"/>
      <c r="Y49" s="325"/>
      <c r="Z49" s="308"/>
      <c r="AA49" s="314"/>
      <c r="AB49" s="308"/>
      <c r="AC49" s="325"/>
      <c r="AD49" s="325"/>
      <c r="AE49" s="325"/>
    </row>
    <row r="50" spans="1:31" ht="14.5" customHeight="1">
      <c r="A50" s="302"/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2"/>
    </row>
    <row r="51" spans="1:31">
      <c r="A51" s="302"/>
      <c r="AA51" s="302"/>
    </row>
    <row r="52" spans="1:31">
      <c r="A52" s="302"/>
      <c r="B52" s="302"/>
      <c r="C52" s="302"/>
      <c r="D52" s="302"/>
      <c r="E52" s="302"/>
      <c r="F52" s="302"/>
      <c r="G52" s="302"/>
      <c r="H52" s="302"/>
      <c r="I52" s="302"/>
      <c r="J52" s="302"/>
      <c r="K52" s="302"/>
      <c r="L52" s="302"/>
      <c r="M52" s="302"/>
      <c r="N52" s="302"/>
      <c r="O52" s="302"/>
      <c r="P52" s="302"/>
      <c r="Q52" s="302"/>
      <c r="R52" s="302"/>
      <c r="S52" s="302"/>
      <c r="T52" s="302"/>
      <c r="U52" s="302"/>
      <c r="V52" s="302"/>
      <c r="W52" s="302"/>
      <c r="X52" s="302"/>
      <c r="Y52" s="302"/>
      <c r="Z52" s="302"/>
      <c r="AA52" s="302"/>
    </row>
    <row r="53" spans="1:31" ht="14.5">
      <c r="B53" s="333" t="s">
        <v>134</v>
      </c>
    </row>
  </sheetData>
  <sheetProtection password="CC5B" sheet="1" objects="1" scenarios="1" formatCells="0" formatColumns="0"/>
  <mergeCells count="41">
    <mergeCell ref="X26:X36"/>
    <mergeCell ref="D28:H28"/>
    <mergeCell ref="D29:H29"/>
    <mergeCell ref="Y22:Y24"/>
    <mergeCell ref="U23:W23"/>
    <mergeCell ref="X22:X24"/>
    <mergeCell ref="C25:H25"/>
    <mergeCell ref="C32:H32"/>
    <mergeCell ref="D24:H24"/>
    <mergeCell ref="D22:H23"/>
    <mergeCell ref="D30:H30"/>
    <mergeCell ref="D31:H31"/>
    <mergeCell ref="D33:H33"/>
    <mergeCell ref="Y26:Y36"/>
    <mergeCell ref="C22:C24"/>
    <mergeCell ref="C39:X39"/>
    <mergeCell ref="I22:K22"/>
    <mergeCell ref="I23:K23"/>
    <mergeCell ref="L22:N22"/>
    <mergeCell ref="L23:N23"/>
    <mergeCell ref="O22:Q22"/>
    <mergeCell ref="O23:Q23"/>
    <mergeCell ref="R22:T22"/>
    <mergeCell ref="R23:T23"/>
    <mergeCell ref="U22:W22"/>
    <mergeCell ref="D35:H35"/>
    <mergeCell ref="D36:H36"/>
    <mergeCell ref="C37:H37"/>
    <mergeCell ref="D34:H34"/>
    <mergeCell ref="D26:H26"/>
    <mergeCell ref="D27:H27"/>
    <mergeCell ref="E3:Y3"/>
    <mergeCell ref="E4:Y4"/>
    <mergeCell ref="E5:Y5"/>
    <mergeCell ref="E6:Y6"/>
    <mergeCell ref="AC12:AC15"/>
    <mergeCell ref="C13:X13"/>
    <mergeCell ref="E7:Y7"/>
    <mergeCell ref="C9:Y9"/>
    <mergeCell ref="C10:Y10"/>
    <mergeCell ref="C11:Y11"/>
  </mergeCells>
  <dataValidations count="1">
    <dataValidation type="decimal" allowBlank="1" showInputMessage="1" showErrorMessage="1" error="Print saja !" promptTitle="Peringatan" sqref="C41:P49 D14:X21 B13:B20 C2:D8 AC12 AC18:AC20 D35:H35 X41:Y41 C10 C37:H38 I38:Y38 Z37:Z49 C17:C24 C26:H31 C33:C35 D33:H33 F2:Y2 C14:C15 T41:W49 E8:Y8 S44:S47 Y12:Y21 C12:X12 E2:E4">
      <formula1>-1</formula1>
      <formula2>-1</formula2>
    </dataValidation>
  </dataValidations>
  <pageMargins left="0.19685039370078741" right="0" top="0.31496062992125984" bottom="0" header="0" footer="0"/>
  <pageSetup paperSize="9" scale="69" orientation="landscape" horizontalDpi="4294967293" r:id="rId1"/>
  <rowBreaks count="1" manualBreakCount="1">
    <brk id="49" min="1" max="25" man="1"/>
  </row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BG70"/>
  <sheetViews>
    <sheetView showGridLines="0" zoomScale="80" zoomScaleNormal="80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AY11" sqref="AY11:AY60"/>
    </sheetView>
  </sheetViews>
  <sheetFormatPr defaultColWidth="0" defaultRowHeight="14.5"/>
  <cols>
    <col min="1" max="1" width="3.7265625" style="1" customWidth="1"/>
    <col min="2" max="2" width="4" style="1" bestFit="1" customWidth="1"/>
    <col min="3" max="3" width="6.7265625" style="1" customWidth="1"/>
    <col min="4" max="4" width="23" style="1" customWidth="1"/>
    <col min="5" max="5" width="26" style="1" customWidth="1"/>
    <col min="6" max="50" width="6.81640625" style="1" customWidth="1"/>
    <col min="51" max="52" width="8.453125" style="1" customWidth="1"/>
    <col min="53" max="53" width="1.81640625" style="1" customWidth="1"/>
    <col min="54" max="54" width="9.54296875" style="1" customWidth="1"/>
    <col min="55" max="55" width="3.26953125" style="1" customWidth="1"/>
    <col min="56" max="56" width="2.1796875" style="1" hidden="1" customWidth="1"/>
    <col min="57" max="57" width="9.1796875" style="1" hidden="1" customWidth="1"/>
    <col min="58" max="58" width="19" style="1" hidden="1" customWidth="1"/>
    <col min="59" max="16384" width="9.1796875" style="1" hidden="1"/>
  </cols>
  <sheetData>
    <row r="1" spans="2:59" ht="20">
      <c r="B1" s="447" t="s">
        <v>218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  <c r="AG1" s="447"/>
      <c r="AH1" s="447"/>
      <c r="AI1" s="447"/>
      <c r="AJ1" s="447"/>
      <c r="AK1" s="447"/>
      <c r="AL1" s="447"/>
      <c r="AM1" s="447"/>
      <c r="AN1" s="447"/>
      <c r="AO1" s="447"/>
      <c r="AP1" s="447"/>
      <c r="AQ1" s="447"/>
      <c r="AR1" s="447"/>
      <c r="AS1" s="447"/>
      <c r="AT1" s="447"/>
      <c r="AU1" s="447"/>
      <c r="AV1" s="447"/>
      <c r="AW1" s="447"/>
      <c r="AX1" s="447"/>
      <c r="AY1" s="447"/>
      <c r="AZ1" s="447"/>
    </row>
    <row r="2" spans="2:59" ht="15" customHeight="1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</row>
    <row r="3" spans="2:59" ht="15" customHeight="1">
      <c r="E3" s="27" t="s">
        <v>13</v>
      </c>
      <c r="F3" s="27"/>
      <c r="G3" s="27"/>
      <c r="H3" s="29" t="s">
        <v>67</v>
      </c>
      <c r="I3" s="29"/>
      <c r="J3" s="29"/>
      <c r="K3" s="29"/>
      <c r="L3" s="28" t="str">
        <f>UPPER(Nama_Sekolah)</f>
        <v>SEKOLAH DASAR NEGERI 1 GIRIHARJO</v>
      </c>
      <c r="M3" s="28"/>
      <c r="N3" s="28"/>
      <c r="O3" s="28"/>
      <c r="P3" s="30"/>
      <c r="Q3" s="30"/>
      <c r="R3" s="30"/>
      <c r="S3" s="213"/>
      <c r="T3" s="30"/>
      <c r="U3" s="213"/>
      <c r="V3" s="213"/>
      <c r="W3" s="213"/>
      <c r="X3" s="30"/>
      <c r="Y3" s="30"/>
      <c r="Z3" s="30"/>
      <c r="AA3" s="213"/>
    </row>
    <row r="4" spans="2:59">
      <c r="E4" s="27" t="s">
        <v>14</v>
      </c>
      <c r="F4" s="27"/>
      <c r="G4" s="27"/>
      <c r="H4" s="29" t="s">
        <v>67</v>
      </c>
      <c r="I4" s="29"/>
      <c r="J4" s="29"/>
      <c r="K4" s="29"/>
      <c r="L4" s="28" t="str">
        <f>NPSN</f>
        <v>20311583</v>
      </c>
      <c r="M4" s="28"/>
      <c r="N4" s="28"/>
      <c r="O4" s="28"/>
      <c r="P4" s="30"/>
      <c r="Q4" s="30"/>
      <c r="R4" s="30"/>
      <c r="S4" s="213"/>
      <c r="T4" s="30"/>
      <c r="U4" s="213"/>
      <c r="V4" s="213"/>
      <c r="W4" s="213"/>
      <c r="X4" s="30"/>
      <c r="Y4" s="30"/>
      <c r="Z4" s="30"/>
      <c r="AA4" s="213"/>
    </row>
    <row r="5" spans="2:59">
      <c r="E5" s="27" t="s">
        <v>68</v>
      </c>
      <c r="F5" s="27"/>
      <c r="G5" s="27"/>
      <c r="H5" s="29" t="s">
        <v>67</v>
      </c>
      <c r="I5" s="29"/>
      <c r="J5" s="29"/>
      <c r="K5" s="29"/>
      <c r="L5" s="28" t="str">
        <f>Kecamatan&amp;", "&amp;Kabupaten&amp;", "&amp;Provinsi</f>
        <v>Puhpelem, Wonogiri, Jawa Tengah</v>
      </c>
      <c r="M5" s="28"/>
      <c r="N5" s="28"/>
      <c r="O5" s="28"/>
      <c r="P5" s="30"/>
      <c r="Q5" s="30"/>
      <c r="R5" s="30"/>
      <c r="S5" s="213"/>
      <c r="T5" s="30"/>
      <c r="U5" s="213"/>
      <c r="V5" s="213"/>
      <c r="W5" s="213"/>
      <c r="X5" s="30"/>
      <c r="Y5" s="30"/>
      <c r="Z5" s="30"/>
      <c r="AA5" s="213"/>
    </row>
    <row r="6" spans="2:59" ht="9" customHeight="1">
      <c r="E6" s="21"/>
      <c r="F6" s="21"/>
      <c r="G6" s="21"/>
      <c r="H6" s="23"/>
      <c r="I6" s="23"/>
      <c r="J6" s="23"/>
      <c r="K6" s="23"/>
      <c r="L6" s="22"/>
      <c r="M6" s="22"/>
      <c r="N6" s="22"/>
      <c r="O6" s="22"/>
    </row>
    <row r="7" spans="2:59" ht="17.25" customHeight="1">
      <c r="B7" s="459" t="s">
        <v>7</v>
      </c>
      <c r="C7" s="461" t="s">
        <v>43</v>
      </c>
      <c r="D7" s="48"/>
      <c r="E7" s="459" t="s">
        <v>8</v>
      </c>
      <c r="F7" s="32" t="s">
        <v>66</v>
      </c>
      <c r="G7" s="531">
        <f>PENGATURAN!G5</f>
        <v>71</v>
      </c>
      <c r="H7" s="532"/>
      <c r="I7" s="532"/>
      <c r="J7" s="533"/>
      <c r="K7" s="531">
        <f>PENGATURAN!G6</f>
        <v>71</v>
      </c>
      <c r="L7" s="532"/>
      <c r="M7" s="532"/>
      <c r="N7" s="533"/>
      <c r="O7" s="531">
        <f>PENGATURAN!G7</f>
        <v>60</v>
      </c>
      <c r="P7" s="532"/>
      <c r="Q7" s="532"/>
      <c r="R7" s="533"/>
      <c r="S7" s="531">
        <f>PENGATURAN!G8</f>
        <v>60</v>
      </c>
      <c r="T7" s="532"/>
      <c r="U7" s="532"/>
      <c r="V7" s="533"/>
      <c r="W7" s="531">
        <f>PENGATURAN!G9</f>
        <v>60</v>
      </c>
      <c r="X7" s="532"/>
      <c r="Y7" s="532"/>
      <c r="Z7" s="533"/>
      <c r="AA7" s="531">
        <f>PENGATURAN!G10</f>
        <v>71</v>
      </c>
      <c r="AB7" s="532"/>
      <c r="AC7" s="532"/>
      <c r="AD7" s="533"/>
      <c r="AE7" s="531">
        <f>PENGATURAN!G11</f>
        <v>71</v>
      </c>
      <c r="AF7" s="532"/>
      <c r="AG7" s="532"/>
      <c r="AH7" s="533"/>
      <c r="AI7" s="531">
        <f>PENGATURAN!G12</f>
        <v>71</v>
      </c>
      <c r="AJ7" s="532"/>
      <c r="AK7" s="532"/>
      <c r="AL7" s="533"/>
      <c r="AM7" s="531">
        <f>PENGATURAN!G16</f>
        <v>71</v>
      </c>
      <c r="AN7" s="532"/>
      <c r="AO7" s="532"/>
      <c r="AP7" s="533"/>
      <c r="AQ7" s="531">
        <f>PENGATURAN!G17</f>
        <v>0</v>
      </c>
      <c r="AR7" s="532"/>
      <c r="AS7" s="532"/>
      <c r="AT7" s="533"/>
      <c r="AU7" s="540">
        <f>PENGATURAN!G18</f>
        <v>0</v>
      </c>
      <c r="AV7" s="541"/>
      <c r="AW7" s="541"/>
      <c r="AX7" s="542"/>
      <c r="AY7" s="459" t="s">
        <v>9</v>
      </c>
      <c r="AZ7" s="459" t="s">
        <v>10</v>
      </c>
    </row>
    <row r="8" spans="2:59" ht="17.25" customHeight="1">
      <c r="B8" s="460"/>
      <c r="C8" s="462"/>
      <c r="D8" s="52"/>
      <c r="E8" s="460"/>
      <c r="F8" s="543" t="s">
        <v>69</v>
      </c>
      <c r="G8" s="534" t="s">
        <v>1</v>
      </c>
      <c r="H8" s="535"/>
      <c r="I8" s="535"/>
      <c r="J8" s="536"/>
      <c r="K8" s="537" t="s">
        <v>2</v>
      </c>
      <c r="L8" s="538"/>
      <c r="M8" s="538"/>
      <c r="N8" s="539"/>
      <c r="O8" s="534" t="s">
        <v>0</v>
      </c>
      <c r="P8" s="535"/>
      <c r="Q8" s="535"/>
      <c r="R8" s="536"/>
      <c r="S8" s="537" t="s">
        <v>3</v>
      </c>
      <c r="T8" s="538"/>
      <c r="U8" s="538"/>
      <c r="V8" s="539"/>
      <c r="W8" s="534" t="s">
        <v>4</v>
      </c>
      <c r="X8" s="535"/>
      <c r="Y8" s="535"/>
      <c r="Z8" s="536"/>
      <c r="AA8" s="537" t="s">
        <v>5</v>
      </c>
      <c r="AB8" s="538"/>
      <c r="AC8" s="538"/>
      <c r="AD8" s="539"/>
      <c r="AE8" s="534" t="s">
        <v>170</v>
      </c>
      <c r="AF8" s="535"/>
      <c r="AG8" s="535"/>
      <c r="AH8" s="536"/>
      <c r="AI8" s="534" t="s">
        <v>6</v>
      </c>
      <c r="AJ8" s="535"/>
      <c r="AK8" s="535"/>
      <c r="AL8" s="536"/>
      <c r="AM8" s="534" t="str">
        <f>PENGATURAN!F16</f>
        <v>Bahasa Jawa</v>
      </c>
      <c r="AN8" s="535"/>
      <c r="AO8" s="535"/>
      <c r="AP8" s="536"/>
      <c r="AQ8" s="534">
        <f>PENGATURAN!F17</f>
        <v>0</v>
      </c>
      <c r="AR8" s="535"/>
      <c r="AS8" s="535"/>
      <c r="AT8" s="536"/>
      <c r="AU8" s="534">
        <f>PENGATURAN!F18</f>
        <v>0</v>
      </c>
      <c r="AV8" s="535"/>
      <c r="AW8" s="535"/>
      <c r="AX8" s="536"/>
      <c r="AY8" s="460"/>
      <c r="AZ8" s="460"/>
    </row>
    <row r="9" spans="2:59">
      <c r="B9" s="460"/>
      <c r="C9" s="462"/>
      <c r="D9" s="52"/>
      <c r="E9" s="460"/>
      <c r="F9" s="544"/>
      <c r="G9" s="296" t="s">
        <v>124</v>
      </c>
      <c r="H9" s="53" t="s">
        <v>74</v>
      </c>
      <c r="I9" s="54" t="s">
        <v>75</v>
      </c>
      <c r="J9" s="55" t="s">
        <v>10</v>
      </c>
      <c r="K9" s="296" t="s">
        <v>124</v>
      </c>
      <c r="L9" s="53" t="s">
        <v>74</v>
      </c>
      <c r="M9" s="54" t="s">
        <v>75</v>
      </c>
      <c r="N9" s="55" t="s">
        <v>10</v>
      </c>
      <c r="O9" s="296" t="s">
        <v>124</v>
      </c>
      <c r="P9" s="53" t="s">
        <v>74</v>
      </c>
      <c r="Q9" s="54" t="s">
        <v>75</v>
      </c>
      <c r="R9" s="55" t="s">
        <v>10</v>
      </c>
      <c r="S9" s="296" t="s">
        <v>124</v>
      </c>
      <c r="T9" s="53" t="s">
        <v>74</v>
      </c>
      <c r="U9" s="54" t="s">
        <v>75</v>
      </c>
      <c r="V9" s="55" t="s">
        <v>10</v>
      </c>
      <c r="W9" s="296" t="s">
        <v>124</v>
      </c>
      <c r="X9" s="53" t="s">
        <v>74</v>
      </c>
      <c r="Y9" s="54" t="s">
        <v>75</v>
      </c>
      <c r="Z9" s="55" t="s">
        <v>10</v>
      </c>
      <c r="AA9" s="296" t="s">
        <v>124</v>
      </c>
      <c r="AB9" s="53" t="s">
        <v>74</v>
      </c>
      <c r="AC9" s="54" t="s">
        <v>75</v>
      </c>
      <c r="AD9" s="55" t="s">
        <v>10</v>
      </c>
      <c r="AE9" s="296" t="s">
        <v>124</v>
      </c>
      <c r="AF9" s="53" t="s">
        <v>74</v>
      </c>
      <c r="AG9" s="54" t="s">
        <v>75</v>
      </c>
      <c r="AH9" s="55" t="s">
        <v>10</v>
      </c>
      <c r="AI9" s="296" t="s">
        <v>124</v>
      </c>
      <c r="AJ9" s="53" t="s">
        <v>74</v>
      </c>
      <c r="AK9" s="54" t="s">
        <v>75</v>
      </c>
      <c r="AL9" s="55" t="s">
        <v>10</v>
      </c>
      <c r="AM9" s="296" t="s">
        <v>124</v>
      </c>
      <c r="AN9" s="53" t="s">
        <v>74</v>
      </c>
      <c r="AO9" s="54" t="s">
        <v>75</v>
      </c>
      <c r="AP9" s="55" t="s">
        <v>10</v>
      </c>
      <c r="AQ9" s="296" t="s">
        <v>124</v>
      </c>
      <c r="AR9" s="53" t="s">
        <v>74</v>
      </c>
      <c r="AS9" s="54" t="s">
        <v>75</v>
      </c>
      <c r="AT9" s="55" t="s">
        <v>10</v>
      </c>
      <c r="AU9" s="296" t="s">
        <v>124</v>
      </c>
      <c r="AV9" s="53" t="s">
        <v>74</v>
      </c>
      <c r="AW9" s="54" t="s">
        <v>75</v>
      </c>
      <c r="AX9" s="55" t="s">
        <v>10</v>
      </c>
      <c r="AY9" s="460"/>
      <c r="AZ9" s="460"/>
    </row>
    <row r="10" spans="2:59" s="56" customFormat="1" ht="15" thickBot="1">
      <c r="B10" s="57">
        <v>1</v>
      </c>
      <c r="C10" s="58">
        <v>2</v>
      </c>
      <c r="D10" s="57">
        <v>3</v>
      </c>
      <c r="E10" s="57">
        <v>4</v>
      </c>
      <c r="F10" s="59">
        <v>5</v>
      </c>
      <c r="G10" s="297">
        <v>6</v>
      </c>
      <c r="H10" s="298">
        <v>7</v>
      </c>
      <c r="I10" s="299">
        <v>8</v>
      </c>
      <c r="J10" s="300">
        <v>9</v>
      </c>
      <c r="K10" s="297">
        <v>10</v>
      </c>
      <c r="L10" s="298">
        <v>11</v>
      </c>
      <c r="M10" s="299">
        <v>12</v>
      </c>
      <c r="N10" s="300">
        <v>13</v>
      </c>
      <c r="O10" s="297">
        <v>14</v>
      </c>
      <c r="P10" s="298">
        <v>15</v>
      </c>
      <c r="Q10" s="299">
        <v>16</v>
      </c>
      <c r="R10" s="300">
        <v>17</v>
      </c>
      <c r="S10" s="297">
        <v>18</v>
      </c>
      <c r="T10" s="298">
        <v>19</v>
      </c>
      <c r="U10" s="299">
        <v>20</v>
      </c>
      <c r="V10" s="300">
        <v>21</v>
      </c>
      <c r="W10" s="297">
        <v>22</v>
      </c>
      <c r="X10" s="298">
        <v>23</v>
      </c>
      <c r="Y10" s="299">
        <v>24</v>
      </c>
      <c r="Z10" s="300">
        <v>25</v>
      </c>
      <c r="AA10" s="297">
        <v>26</v>
      </c>
      <c r="AB10" s="298">
        <v>27</v>
      </c>
      <c r="AC10" s="299">
        <v>28</v>
      </c>
      <c r="AD10" s="300">
        <v>29</v>
      </c>
      <c r="AE10" s="297">
        <v>30</v>
      </c>
      <c r="AF10" s="298">
        <v>31</v>
      </c>
      <c r="AG10" s="299">
        <v>32</v>
      </c>
      <c r="AH10" s="300">
        <v>33</v>
      </c>
      <c r="AI10" s="297">
        <v>34</v>
      </c>
      <c r="AJ10" s="298">
        <v>35</v>
      </c>
      <c r="AK10" s="299">
        <v>36</v>
      </c>
      <c r="AL10" s="300">
        <v>37</v>
      </c>
      <c r="AM10" s="297">
        <v>38</v>
      </c>
      <c r="AN10" s="298">
        <v>39</v>
      </c>
      <c r="AO10" s="299">
        <v>40</v>
      </c>
      <c r="AP10" s="300">
        <v>41</v>
      </c>
      <c r="AQ10" s="297">
        <v>42</v>
      </c>
      <c r="AR10" s="298">
        <v>43</v>
      </c>
      <c r="AS10" s="297">
        <v>44</v>
      </c>
      <c r="AT10" s="298">
        <v>45</v>
      </c>
      <c r="AU10" s="297">
        <v>46</v>
      </c>
      <c r="AV10" s="298">
        <v>47</v>
      </c>
      <c r="AW10" s="297">
        <v>48</v>
      </c>
      <c r="AX10" s="298">
        <v>49</v>
      </c>
      <c r="AY10" s="297">
        <v>50</v>
      </c>
      <c r="AZ10" s="298">
        <v>51</v>
      </c>
      <c r="BB10" s="295" t="s">
        <v>71</v>
      </c>
    </row>
    <row r="11" spans="2:59" ht="15" thickTop="1">
      <c r="B11" s="25">
        <v>1</v>
      </c>
      <c r="C11" s="25" t="str">
        <f>'Data Siswa'!C4&amp;""</f>
        <v>2887</v>
      </c>
      <c r="D11" s="25" t="str">
        <f>'Data Siswa'!E4&amp;""</f>
        <v>1-22-03-21-0827-0001-8</v>
      </c>
      <c r="E11" s="26" t="str">
        <f>'Data Siswa'!F4&amp;""</f>
        <v/>
      </c>
      <c r="F11" s="434"/>
      <c r="G11" s="412">
        <f>'REKAP RAPOR'!F8</f>
        <v>91.2</v>
      </c>
      <c r="H11" s="415"/>
      <c r="I11" s="415"/>
      <c r="J11" s="414">
        <f>IFERROR(AVERAGE(G11:I11),"")</f>
        <v>91.2</v>
      </c>
      <c r="K11" s="412">
        <f>'REKAP RAPOR'!G8</f>
        <v>86.6</v>
      </c>
      <c r="L11" s="415">
        <v>93</v>
      </c>
      <c r="M11" s="415"/>
      <c r="N11" s="414">
        <f>IFERROR(AVERAGE(K11:M11),"")</f>
        <v>89.8</v>
      </c>
      <c r="O11" s="412">
        <f>'REKAP RAPOR'!H8</f>
        <v>87.1</v>
      </c>
      <c r="P11" s="415">
        <v>90</v>
      </c>
      <c r="Q11" s="415"/>
      <c r="R11" s="414">
        <f>IFERROR(AVERAGE(O11:Q11),"")</f>
        <v>88.55</v>
      </c>
      <c r="S11" s="412">
        <f>'REKAP RAPOR'!I8</f>
        <v>80.5</v>
      </c>
      <c r="T11" s="415">
        <v>98</v>
      </c>
      <c r="U11" s="415"/>
      <c r="V11" s="414">
        <f>IFERROR(AVERAGE(S11:U11),"")</f>
        <v>89.25</v>
      </c>
      <c r="W11" s="412">
        <f>'REKAP RAPOR'!J8</f>
        <v>82.9</v>
      </c>
      <c r="X11" s="415">
        <v>97</v>
      </c>
      <c r="Y11" s="415"/>
      <c r="Z11" s="414">
        <f>IFERROR(AVERAGE(W11:Y11),"")</f>
        <v>89.95</v>
      </c>
      <c r="AA11" s="412">
        <f>'REKAP RAPOR'!K8</f>
        <v>84.6</v>
      </c>
      <c r="AB11" s="415">
        <v>93</v>
      </c>
      <c r="AC11" s="415"/>
      <c r="AD11" s="414">
        <f>IFERROR(AVERAGE(AA11:AC11),"")</f>
        <v>88.8</v>
      </c>
      <c r="AE11" s="412">
        <f>'REKAP RAPOR'!L8</f>
        <v>85.2</v>
      </c>
      <c r="AF11" s="415"/>
      <c r="AG11" s="415"/>
      <c r="AH11" s="414">
        <f>IFERROR(AVERAGE(AE11:AG11),"")</f>
        <v>85.2</v>
      </c>
      <c r="AI11" s="412">
        <f>'REKAP RAPOR'!M8</f>
        <v>87.2</v>
      </c>
      <c r="AJ11" s="415"/>
      <c r="AK11" s="415"/>
      <c r="AL11" s="414">
        <f>IFERROR(AVERAGE(AI11:AK11),"")</f>
        <v>87.2</v>
      </c>
      <c r="AM11" s="412">
        <f>'REKAP RAPOR'!N8</f>
        <v>84.7</v>
      </c>
      <c r="AN11" s="415"/>
      <c r="AO11" s="415"/>
      <c r="AP11" s="414">
        <f>IFERROR(AVERAGE(AM11:AO11),"")</f>
        <v>84.7</v>
      </c>
      <c r="AQ11" s="412" t="str">
        <f>'REKAP RAPOR'!O8</f>
        <v/>
      </c>
      <c r="AR11" s="415"/>
      <c r="AS11" s="415"/>
      <c r="AT11" s="414" t="str">
        <f>IFERROR(AVERAGE(AQ11:AS11),"")</f>
        <v/>
      </c>
      <c r="AU11" s="412" t="str">
        <f>'REKAP RAPOR'!P8</f>
        <v/>
      </c>
      <c r="AV11" s="415"/>
      <c r="AW11" s="415"/>
      <c r="AX11" s="417" t="str">
        <f>IFERROR(AVERAGE(AU11:AW11),"")</f>
        <v/>
      </c>
      <c r="AY11" s="418">
        <f>IF(SUM(J11,L11,R11,T11,Z11,AB11,AH11,AL11,AP11,AT11,AX11)=0,"",SUM(J11,L11,R11,T11,Z11,AB11,AH11,AL11,AP11,AT11,AX11))</f>
        <v>810.80000000000018</v>
      </c>
      <c r="AZ11" s="418">
        <f>IFERROR(AVERAGE(H11:AV11),"")</f>
        <v>88.384090909090915</v>
      </c>
      <c r="BA11" s="19"/>
      <c r="BB11" s="35" t="str">
        <f t="shared" ref="BB11:BB42" si="0">IF(E11="","Kosong","Data")</f>
        <v>Kosong</v>
      </c>
    </row>
    <row r="12" spans="2:59">
      <c r="B12" s="7">
        <v>2</v>
      </c>
      <c r="C12" s="7" t="str">
        <f>'Data Siswa'!C5&amp;""</f>
        <v>2888</v>
      </c>
      <c r="D12" s="25" t="str">
        <f>'Data Siswa'!E5&amp;""</f>
        <v>1-22-03-21-0827-0002-7</v>
      </c>
      <c r="E12" s="11" t="str">
        <f>'Data Siswa'!F5&amp;""</f>
        <v/>
      </c>
      <c r="F12" s="434"/>
      <c r="G12" s="413">
        <f>'REKAP RAPOR'!F9</f>
        <v>78.7</v>
      </c>
      <c r="H12" s="416"/>
      <c r="I12" s="416"/>
      <c r="J12" s="414">
        <f t="shared" ref="J12:J60" si="1">IFERROR(AVERAGE(G12:I12),"")</f>
        <v>78.7</v>
      </c>
      <c r="K12" s="413">
        <f>'REKAP RAPOR'!G9</f>
        <v>79.900000000000006</v>
      </c>
      <c r="L12" s="416">
        <v>76</v>
      </c>
      <c r="M12" s="416"/>
      <c r="N12" s="414">
        <f t="shared" ref="N12:N60" si="2">IFERROR(AVERAGE(K12:M12),"")</f>
        <v>77.95</v>
      </c>
      <c r="O12" s="413">
        <f>'REKAP RAPOR'!H9</f>
        <v>78.099999999999994</v>
      </c>
      <c r="P12" s="416">
        <v>72</v>
      </c>
      <c r="Q12" s="416"/>
      <c r="R12" s="414">
        <f t="shared" ref="R12:R60" si="3">IFERROR(AVERAGE(O12:Q12),"")</f>
        <v>75.05</v>
      </c>
      <c r="S12" s="413">
        <f>'REKAP RAPOR'!I9</f>
        <v>71.400000000000006</v>
      </c>
      <c r="T12" s="416">
        <v>65</v>
      </c>
      <c r="U12" s="416"/>
      <c r="V12" s="414">
        <f t="shared" ref="V12:V60" si="4">IFERROR(AVERAGE(S12:U12),"")</f>
        <v>68.2</v>
      </c>
      <c r="W12" s="413">
        <f>'REKAP RAPOR'!J9</f>
        <v>76.8</v>
      </c>
      <c r="X12" s="416">
        <v>68</v>
      </c>
      <c r="Y12" s="416"/>
      <c r="Z12" s="414">
        <f t="shared" ref="Z12:Z60" si="5">IFERROR(AVERAGE(W12:Y12),"")</f>
        <v>72.400000000000006</v>
      </c>
      <c r="AA12" s="413">
        <f>'REKAP RAPOR'!K9</f>
        <v>77.900000000000006</v>
      </c>
      <c r="AB12" s="416">
        <v>74</v>
      </c>
      <c r="AC12" s="416"/>
      <c r="AD12" s="414">
        <f t="shared" ref="AD12:AD60" si="6">IFERROR(AVERAGE(AA12:AC12),"")</f>
        <v>75.95</v>
      </c>
      <c r="AE12" s="413">
        <f>'REKAP RAPOR'!L9</f>
        <v>78.5</v>
      </c>
      <c r="AF12" s="416"/>
      <c r="AG12" s="416"/>
      <c r="AH12" s="414">
        <f t="shared" ref="AH12:AH60" si="7">IFERROR(AVERAGE(AE12:AG12),"")</f>
        <v>78.5</v>
      </c>
      <c r="AI12" s="413">
        <f>'REKAP RAPOR'!M9</f>
        <v>79</v>
      </c>
      <c r="AJ12" s="416"/>
      <c r="AK12" s="416"/>
      <c r="AL12" s="414">
        <f t="shared" ref="AL12:AL60" si="8">IFERROR(AVERAGE(AI12:AK12),"")</f>
        <v>79</v>
      </c>
      <c r="AM12" s="413">
        <f>'REKAP RAPOR'!N9</f>
        <v>75.900000000000006</v>
      </c>
      <c r="AN12" s="416"/>
      <c r="AO12" s="416"/>
      <c r="AP12" s="414">
        <f t="shared" ref="AP12:AP60" si="9">IFERROR(AVERAGE(AM12:AO12),"")</f>
        <v>75.900000000000006</v>
      </c>
      <c r="AQ12" s="413" t="str">
        <f>'REKAP RAPOR'!O9</f>
        <v/>
      </c>
      <c r="AR12" s="416"/>
      <c r="AS12" s="416"/>
      <c r="AT12" s="414" t="str">
        <f t="shared" ref="AT12:AT60" si="10">IFERROR(AVERAGE(AQ12:AS12),"")</f>
        <v/>
      </c>
      <c r="AU12" s="413" t="str">
        <f>'REKAP RAPOR'!P9</f>
        <v/>
      </c>
      <c r="AV12" s="416"/>
      <c r="AW12" s="416"/>
      <c r="AX12" s="417" t="str">
        <f t="shared" ref="AX12:AX60" si="11">IFERROR(AVERAGE(AU12:AW12),"")</f>
        <v/>
      </c>
      <c r="AY12" s="418">
        <f t="shared" ref="AY12:AY60" si="12">IF(SUM(J12,L12,R12,T12,Z12,AB12,AH12,AL12,AP12,AT12,AX12)=0,"",SUM(J12,L12,R12,T12,Z12,AB12,AH12,AL12,AP12,AT12,AX12))</f>
        <v>674.55</v>
      </c>
      <c r="AZ12" s="396">
        <f t="shared" ref="AZ12:AZ60" si="13">IFERROR(AVERAGE(H12:AV12),"")</f>
        <v>75.188636363636363</v>
      </c>
      <c r="BB12" s="35" t="str">
        <f t="shared" si="0"/>
        <v>Kosong</v>
      </c>
      <c r="BF12" s="4" t="s">
        <v>46</v>
      </c>
      <c r="BG12" s="5"/>
    </row>
    <row r="13" spans="2:59">
      <c r="B13" s="7">
        <v>3</v>
      </c>
      <c r="C13" s="7" t="str">
        <f>'Data Siswa'!C6&amp;""</f>
        <v>2886</v>
      </c>
      <c r="D13" s="25" t="str">
        <f>'Data Siswa'!E6&amp;""</f>
        <v>1-22-03-21-0827-0003-6</v>
      </c>
      <c r="E13" s="11" t="str">
        <f>'Data Siswa'!F6&amp;""</f>
        <v/>
      </c>
      <c r="F13" s="434"/>
      <c r="G13" s="413">
        <f>'REKAP RAPOR'!F10</f>
        <v>85.1</v>
      </c>
      <c r="H13" s="416"/>
      <c r="I13" s="416"/>
      <c r="J13" s="414">
        <f t="shared" si="1"/>
        <v>85.1</v>
      </c>
      <c r="K13" s="413">
        <f>'REKAP RAPOR'!G10</f>
        <v>81.099999999999994</v>
      </c>
      <c r="L13" s="416">
        <v>86</v>
      </c>
      <c r="M13" s="416"/>
      <c r="N13" s="414">
        <f t="shared" si="2"/>
        <v>83.55</v>
      </c>
      <c r="O13" s="413">
        <f>'REKAP RAPOR'!H10</f>
        <v>80.599999999999994</v>
      </c>
      <c r="P13" s="416">
        <v>89</v>
      </c>
      <c r="Q13" s="416"/>
      <c r="R13" s="414">
        <f t="shared" si="3"/>
        <v>84.8</v>
      </c>
      <c r="S13" s="413">
        <f>'REKAP RAPOR'!I10</f>
        <v>74.2</v>
      </c>
      <c r="T13" s="416">
        <v>72</v>
      </c>
      <c r="U13" s="416"/>
      <c r="V13" s="414">
        <f t="shared" si="4"/>
        <v>73.099999999999994</v>
      </c>
      <c r="W13" s="413">
        <f>'REKAP RAPOR'!J10</f>
        <v>78.2</v>
      </c>
      <c r="X13" s="416">
        <v>76</v>
      </c>
      <c r="Y13" s="416"/>
      <c r="Z13" s="414">
        <f t="shared" si="5"/>
        <v>77.099999999999994</v>
      </c>
      <c r="AA13" s="413">
        <f>'REKAP RAPOR'!K10</f>
        <v>78.400000000000006</v>
      </c>
      <c r="AB13" s="416">
        <v>84</v>
      </c>
      <c r="AC13" s="416"/>
      <c r="AD13" s="414">
        <f t="shared" si="6"/>
        <v>81.2</v>
      </c>
      <c r="AE13" s="413">
        <f>'REKAP RAPOR'!L10</f>
        <v>80.900000000000006</v>
      </c>
      <c r="AF13" s="416"/>
      <c r="AG13" s="416"/>
      <c r="AH13" s="414">
        <f t="shared" si="7"/>
        <v>80.900000000000006</v>
      </c>
      <c r="AI13" s="413">
        <f>'REKAP RAPOR'!M10</f>
        <v>80.3</v>
      </c>
      <c r="AJ13" s="416"/>
      <c r="AK13" s="416"/>
      <c r="AL13" s="414">
        <f t="shared" si="8"/>
        <v>80.3</v>
      </c>
      <c r="AM13" s="413">
        <f>'REKAP RAPOR'!N10</f>
        <v>79.3</v>
      </c>
      <c r="AN13" s="416"/>
      <c r="AO13" s="416"/>
      <c r="AP13" s="414">
        <f t="shared" si="9"/>
        <v>79.3</v>
      </c>
      <c r="AQ13" s="413" t="str">
        <f>'REKAP RAPOR'!O10</f>
        <v/>
      </c>
      <c r="AR13" s="416"/>
      <c r="AS13" s="416"/>
      <c r="AT13" s="414" t="str">
        <f t="shared" si="10"/>
        <v/>
      </c>
      <c r="AU13" s="413" t="str">
        <f>'REKAP RAPOR'!P10</f>
        <v/>
      </c>
      <c r="AV13" s="416"/>
      <c r="AW13" s="416"/>
      <c r="AX13" s="417" t="str">
        <f t="shared" si="11"/>
        <v/>
      </c>
      <c r="AY13" s="418">
        <f t="shared" si="12"/>
        <v>729.49999999999989</v>
      </c>
      <c r="AZ13" s="396">
        <f t="shared" si="13"/>
        <v>80.243181818181824</v>
      </c>
      <c r="BB13" s="35" t="str">
        <f t="shared" si="0"/>
        <v>Kosong</v>
      </c>
      <c r="BF13" s="6" t="s">
        <v>44</v>
      </c>
      <c r="BG13" s="2">
        <f>PENGATURAN!K5</f>
        <v>10</v>
      </c>
    </row>
    <row r="14" spans="2:59">
      <c r="B14" s="7">
        <v>4</v>
      </c>
      <c r="C14" s="7" t="str">
        <f>'Data Siswa'!C7&amp;""</f>
        <v>2864</v>
      </c>
      <c r="D14" s="25" t="str">
        <f>'Data Siswa'!E7&amp;""</f>
        <v>1-22-03-21-0827-0004-5</v>
      </c>
      <c r="E14" s="11" t="str">
        <f>'Data Siswa'!F7&amp;""</f>
        <v/>
      </c>
      <c r="F14" s="434"/>
      <c r="G14" s="413">
        <f>'REKAP RAPOR'!F11</f>
        <v>79.2</v>
      </c>
      <c r="H14" s="416"/>
      <c r="I14" s="416"/>
      <c r="J14" s="414">
        <f t="shared" si="1"/>
        <v>79.2</v>
      </c>
      <c r="K14" s="413">
        <f>'REKAP RAPOR'!G11</f>
        <v>80.400000000000006</v>
      </c>
      <c r="L14" s="416">
        <v>77</v>
      </c>
      <c r="M14" s="416"/>
      <c r="N14" s="414">
        <f t="shared" si="2"/>
        <v>78.7</v>
      </c>
      <c r="O14" s="413">
        <f>'REKAP RAPOR'!H11</f>
        <v>79.3</v>
      </c>
      <c r="P14" s="416">
        <v>76</v>
      </c>
      <c r="Q14" s="416"/>
      <c r="R14" s="414">
        <f t="shared" si="3"/>
        <v>77.650000000000006</v>
      </c>
      <c r="S14" s="413">
        <f>'REKAP RAPOR'!I11</f>
        <v>70</v>
      </c>
      <c r="T14" s="416">
        <v>62</v>
      </c>
      <c r="U14" s="416"/>
      <c r="V14" s="414">
        <f t="shared" si="4"/>
        <v>66</v>
      </c>
      <c r="W14" s="413">
        <f>'REKAP RAPOR'!J11</f>
        <v>76.3</v>
      </c>
      <c r="X14" s="416">
        <v>71</v>
      </c>
      <c r="Y14" s="416"/>
      <c r="Z14" s="414">
        <f t="shared" si="5"/>
        <v>73.650000000000006</v>
      </c>
      <c r="AA14" s="413">
        <f>'REKAP RAPOR'!K11</f>
        <v>78.2</v>
      </c>
      <c r="AB14" s="416">
        <v>78</v>
      </c>
      <c r="AC14" s="416"/>
      <c r="AD14" s="414">
        <f t="shared" si="6"/>
        <v>78.099999999999994</v>
      </c>
      <c r="AE14" s="413">
        <f>'REKAP RAPOR'!L11</f>
        <v>79.099999999999994</v>
      </c>
      <c r="AF14" s="416"/>
      <c r="AG14" s="416"/>
      <c r="AH14" s="414">
        <f t="shared" si="7"/>
        <v>79.099999999999994</v>
      </c>
      <c r="AI14" s="413">
        <f>'REKAP RAPOR'!M11</f>
        <v>79.900000000000006</v>
      </c>
      <c r="AJ14" s="416"/>
      <c r="AK14" s="416"/>
      <c r="AL14" s="414">
        <f t="shared" si="8"/>
        <v>79.900000000000006</v>
      </c>
      <c r="AM14" s="413">
        <f>'REKAP RAPOR'!N11</f>
        <v>76.400000000000006</v>
      </c>
      <c r="AN14" s="416"/>
      <c r="AO14" s="416"/>
      <c r="AP14" s="414">
        <f t="shared" si="9"/>
        <v>76.400000000000006</v>
      </c>
      <c r="AQ14" s="413" t="str">
        <f>'REKAP RAPOR'!O11</f>
        <v/>
      </c>
      <c r="AR14" s="416"/>
      <c r="AS14" s="416"/>
      <c r="AT14" s="414" t="str">
        <f t="shared" si="10"/>
        <v/>
      </c>
      <c r="AU14" s="413" t="str">
        <f>'REKAP RAPOR'!P11</f>
        <v/>
      </c>
      <c r="AV14" s="416"/>
      <c r="AW14" s="416"/>
      <c r="AX14" s="417" t="str">
        <f t="shared" si="11"/>
        <v/>
      </c>
      <c r="AY14" s="418">
        <f t="shared" si="12"/>
        <v>682.9</v>
      </c>
      <c r="AZ14" s="396">
        <f t="shared" si="13"/>
        <v>76.013636363636365</v>
      </c>
      <c r="BB14" s="35" t="str">
        <f t="shared" si="0"/>
        <v>Kosong</v>
      </c>
      <c r="BF14" s="6" t="s">
        <v>45</v>
      </c>
      <c r="BG14" s="2">
        <f>PENGATURAN!K6</f>
        <v>100</v>
      </c>
    </row>
    <row r="15" spans="2:59">
      <c r="B15" s="7">
        <v>5</v>
      </c>
      <c r="C15" s="7" t="str">
        <f>'Data Siswa'!C8&amp;""</f>
        <v>2890</v>
      </c>
      <c r="D15" s="25" t="str">
        <f>'Data Siswa'!E8&amp;""</f>
        <v>1-22-03-21-0827-0005-4</v>
      </c>
      <c r="E15" s="11" t="str">
        <f>'Data Siswa'!F8&amp;""</f>
        <v/>
      </c>
      <c r="F15" s="434"/>
      <c r="G15" s="413">
        <f>'REKAP RAPOR'!F12</f>
        <v>83</v>
      </c>
      <c r="H15" s="416"/>
      <c r="I15" s="416"/>
      <c r="J15" s="414">
        <f t="shared" si="1"/>
        <v>83</v>
      </c>
      <c r="K15" s="413">
        <f>'REKAP RAPOR'!G12</f>
        <v>81</v>
      </c>
      <c r="L15" s="416">
        <v>80</v>
      </c>
      <c r="M15" s="416"/>
      <c r="N15" s="414">
        <f t="shared" si="2"/>
        <v>80.5</v>
      </c>
      <c r="O15" s="413">
        <f>'REKAP RAPOR'!H12</f>
        <v>81.7</v>
      </c>
      <c r="P15" s="416">
        <v>82</v>
      </c>
      <c r="Q15" s="416"/>
      <c r="R15" s="414">
        <f t="shared" si="3"/>
        <v>81.849999999999994</v>
      </c>
      <c r="S15" s="413">
        <f>'REKAP RAPOR'!I12</f>
        <v>77.599999999999994</v>
      </c>
      <c r="T15" s="416">
        <v>63</v>
      </c>
      <c r="U15" s="416"/>
      <c r="V15" s="414">
        <f t="shared" si="4"/>
        <v>70.3</v>
      </c>
      <c r="W15" s="413">
        <f>'REKAP RAPOR'!J12</f>
        <v>79.8</v>
      </c>
      <c r="X15" s="416">
        <v>80</v>
      </c>
      <c r="Y15" s="416"/>
      <c r="Z15" s="414">
        <f t="shared" si="5"/>
        <v>79.900000000000006</v>
      </c>
      <c r="AA15" s="413">
        <f>'REKAP RAPOR'!K12</f>
        <v>80.7</v>
      </c>
      <c r="AB15" s="416">
        <v>77</v>
      </c>
      <c r="AC15" s="416"/>
      <c r="AD15" s="414">
        <f t="shared" si="6"/>
        <v>78.849999999999994</v>
      </c>
      <c r="AE15" s="413">
        <f>'REKAP RAPOR'!L12</f>
        <v>81.5</v>
      </c>
      <c r="AF15" s="416"/>
      <c r="AG15" s="416"/>
      <c r="AH15" s="414">
        <f t="shared" si="7"/>
        <v>81.5</v>
      </c>
      <c r="AI15" s="413">
        <f>'REKAP RAPOR'!M12</f>
        <v>82.4</v>
      </c>
      <c r="AJ15" s="416"/>
      <c r="AK15" s="416"/>
      <c r="AL15" s="414">
        <f t="shared" si="8"/>
        <v>82.4</v>
      </c>
      <c r="AM15" s="413">
        <f>'REKAP RAPOR'!N12</f>
        <v>78.7</v>
      </c>
      <c r="AN15" s="416"/>
      <c r="AO15" s="416"/>
      <c r="AP15" s="414">
        <f t="shared" si="9"/>
        <v>78.7</v>
      </c>
      <c r="AQ15" s="413" t="str">
        <f>'REKAP RAPOR'!O12</f>
        <v/>
      </c>
      <c r="AR15" s="416"/>
      <c r="AS15" s="416"/>
      <c r="AT15" s="414" t="str">
        <f t="shared" si="10"/>
        <v/>
      </c>
      <c r="AU15" s="413" t="str">
        <f>'REKAP RAPOR'!P12</f>
        <v/>
      </c>
      <c r="AV15" s="416"/>
      <c r="AW15" s="416"/>
      <c r="AX15" s="417" t="str">
        <f t="shared" si="11"/>
        <v/>
      </c>
      <c r="AY15" s="418">
        <f t="shared" si="12"/>
        <v>707.35</v>
      </c>
      <c r="AZ15" s="396">
        <f t="shared" si="13"/>
        <v>79.2</v>
      </c>
      <c r="BB15" s="35" t="str">
        <f t="shared" si="0"/>
        <v>Kosong</v>
      </c>
    </row>
    <row r="16" spans="2:59">
      <c r="B16" s="7">
        <v>6</v>
      </c>
      <c r="C16" s="7" t="str">
        <f>'Data Siswa'!C9&amp;""</f>
        <v>2889</v>
      </c>
      <c r="D16" s="25" t="str">
        <f>'Data Siswa'!E9&amp;""</f>
        <v>1-22-03-21-0827-0006-3</v>
      </c>
      <c r="E16" s="11" t="str">
        <f>'Data Siswa'!F9&amp;""</f>
        <v/>
      </c>
      <c r="F16" s="434"/>
      <c r="G16" s="413">
        <f>'REKAP RAPOR'!F13</f>
        <v>82.3</v>
      </c>
      <c r="H16" s="416"/>
      <c r="I16" s="416"/>
      <c r="J16" s="414">
        <f t="shared" si="1"/>
        <v>82.3</v>
      </c>
      <c r="K16" s="413">
        <f>'REKAP RAPOR'!G13</f>
        <v>81.5</v>
      </c>
      <c r="L16" s="416">
        <v>81</v>
      </c>
      <c r="M16" s="416"/>
      <c r="N16" s="414">
        <f t="shared" si="2"/>
        <v>81.25</v>
      </c>
      <c r="O16" s="413">
        <f>'REKAP RAPOR'!H13</f>
        <v>80</v>
      </c>
      <c r="P16" s="416">
        <v>81</v>
      </c>
      <c r="Q16" s="416"/>
      <c r="R16" s="414">
        <f t="shared" si="3"/>
        <v>80.5</v>
      </c>
      <c r="S16" s="413">
        <f>'REKAP RAPOR'!I13</f>
        <v>75.900000000000006</v>
      </c>
      <c r="T16" s="416">
        <v>72</v>
      </c>
      <c r="U16" s="416"/>
      <c r="V16" s="414">
        <f t="shared" si="4"/>
        <v>73.95</v>
      </c>
      <c r="W16" s="413">
        <f>'REKAP RAPOR'!J13</f>
        <v>81.2</v>
      </c>
      <c r="X16" s="416">
        <v>78</v>
      </c>
      <c r="Y16" s="416"/>
      <c r="Z16" s="414">
        <f t="shared" si="5"/>
        <v>79.599999999999994</v>
      </c>
      <c r="AA16" s="413">
        <f>'REKAP RAPOR'!K13</f>
        <v>81.099999999999994</v>
      </c>
      <c r="AB16" s="416">
        <v>72</v>
      </c>
      <c r="AC16" s="416"/>
      <c r="AD16" s="414">
        <f t="shared" si="6"/>
        <v>76.55</v>
      </c>
      <c r="AE16" s="413">
        <f>'REKAP RAPOR'!L13</f>
        <v>81.2</v>
      </c>
      <c r="AF16" s="416"/>
      <c r="AG16" s="416"/>
      <c r="AH16" s="414">
        <f t="shared" si="7"/>
        <v>81.2</v>
      </c>
      <c r="AI16" s="413">
        <f>'REKAP RAPOR'!M13</f>
        <v>81</v>
      </c>
      <c r="AJ16" s="416"/>
      <c r="AK16" s="416"/>
      <c r="AL16" s="414">
        <f t="shared" si="8"/>
        <v>81</v>
      </c>
      <c r="AM16" s="413">
        <f>'REKAP RAPOR'!N13</f>
        <v>77.099999999999994</v>
      </c>
      <c r="AN16" s="416"/>
      <c r="AO16" s="416"/>
      <c r="AP16" s="414">
        <f t="shared" si="9"/>
        <v>77.099999999999994</v>
      </c>
      <c r="AQ16" s="413" t="str">
        <f>'REKAP RAPOR'!O13</f>
        <v/>
      </c>
      <c r="AR16" s="416"/>
      <c r="AS16" s="416"/>
      <c r="AT16" s="414" t="str">
        <f t="shared" si="10"/>
        <v/>
      </c>
      <c r="AU16" s="413" t="str">
        <f>'REKAP RAPOR'!P13</f>
        <v/>
      </c>
      <c r="AV16" s="416"/>
      <c r="AW16" s="416"/>
      <c r="AX16" s="417" t="str">
        <f t="shared" si="11"/>
        <v/>
      </c>
      <c r="AY16" s="418">
        <f t="shared" si="12"/>
        <v>706.7</v>
      </c>
      <c r="AZ16" s="396">
        <f t="shared" si="13"/>
        <v>78.929545454545448</v>
      </c>
      <c r="BB16" s="35" t="str">
        <f t="shared" si="0"/>
        <v>Kosong</v>
      </c>
    </row>
    <row r="17" spans="2:54">
      <c r="B17" s="7">
        <v>7</v>
      </c>
      <c r="C17" s="7" t="str">
        <f>'Data Siswa'!C10&amp;""</f>
        <v>2891</v>
      </c>
      <c r="D17" s="25" t="str">
        <f>'Data Siswa'!E10&amp;""</f>
        <v>1-22-03-21-0827-0007-2</v>
      </c>
      <c r="E17" s="11" t="str">
        <f>'Data Siswa'!F10&amp;""</f>
        <v/>
      </c>
      <c r="F17" s="434"/>
      <c r="G17" s="413">
        <f>'REKAP RAPOR'!F14</f>
        <v>90.1</v>
      </c>
      <c r="H17" s="416"/>
      <c r="I17" s="416"/>
      <c r="J17" s="414">
        <f t="shared" si="1"/>
        <v>90.1</v>
      </c>
      <c r="K17" s="413">
        <f>'REKAP RAPOR'!G14</f>
        <v>86.3</v>
      </c>
      <c r="L17" s="416">
        <v>93</v>
      </c>
      <c r="M17" s="416"/>
      <c r="N17" s="414">
        <f t="shared" si="2"/>
        <v>89.65</v>
      </c>
      <c r="O17" s="413">
        <f>'REKAP RAPOR'!H14</f>
        <v>84.4</v>
      </c>
      <c r="P17" s="416">
        <v>92</v>
      </c>
      <c r="Q17" s="416"/>
      <c r="R17" s="414">
        <f t="shared" si="3"/>
        <v>88.2</v>
      </c>
      <c r="S17" s="413">
        <f>'REKAP RAPOR'!I14</f>
        <v>80.7</v>
      </c>
      <c r="T17" s="416">
        <v>94</v>
      </c>
      <c r="U17" s="416"/>
      <c r="V17" s="414">
        <f t="shared" si="4"/>
        <v>87.35</v>
      </c>
      <c r="W17" s="413">
        <f>'REKAP RAPOR'!J14</f>
        <v>83.1</v>
      </c>
      <c r="X17" s="416">
        <v>86</v>
      </c>
      <c r="Y17" s="416"/>
      <c r="Z17" s="414">
        <f t="shared" si="5"/>
        <v>84.55</v>
      </c>
      <c r="AA17" s="413">
        <f>'REKAP RAPOR'!K14</f>
        <v>83.3</v>
      </c>
      <c r="AB17" s="416">
        <v>93</v>
      </c>
      <c r="AC17" s="416"/>
      <c r="AD17" s="414">
        <f t="shared" si="6"/>
        <v>88.15</v>
      </c>
      <c r="AE17" s="413">
        <f>'REKAP RAPOR'!L14</f>
        <v>80.2</v>
      </c>
      <c r="AF17" s="416"/>
      <c r="AG17" s="416"/>
      <c r="AH17" s="414">
        <f t="shared" si="7"/>
        <v>80.2</v>
      </c>
      <c r="AI17" s="413">
        <f>'REKAP RAPOR'!M14</f>
        <v>85.1</v>
      </c>
      <c r="AJ17" s="416"/>
      <c r="AK17" s="416"/>
      <c r="AL17" s="414">
        <f t="shared" si="8"/>
        <v>85.1</v>
      </c>
      <c r="AM17" s="413">
        <f>'REKAP RAPOR'!N14</f>
        <v>82.9</v>
      </c>
      <c r="AN17" s="416"/>
      <c r="AO17" s="416"/>
      <c r="AP17" s="414">
        <f t="shared" si="9"/>
        <v>82.9</v>
      </c>
      <c r="AQ17" s="413" t="str">
        <f>'REKAP RAPOR'!O14</f>
        <v/>
      </c>
      <c r="AR17" s="416"/>
      <c r="AS17" s="416"/>
      <c r="AT17" s="414" t="str">
        <f t="shared" si="10"/>
        <v/>
      </c>
      <c r="AU17" s="413" t="str">
        <f>'REKAP RAPOR'!P14</f>
        <v/>
      </c>
      <c r="AV17" s="416"/>
      <c r="AW17" s="416"/>
      <c r="AX17" s="417" t="str">
        <f t="shared" si="11"/>
        <v/>
      </c>
      <c r="AY17" s="418">
        <f t="shared" si="12"/>
        <v>791.05000000000007</v>
      </c>
      <c r="AZ17" s="396">
        <f t="shared" si="13"/>
        <v>86.372727272727289</v>
      </c>
      <c r="BB17" s="35" t="str">
        <f t="shared" si="0"/>
        <v>Kosong</v>
      </c>
    </row>
    <row r="18" spans="2:54">
      <c r="B18" s="7">
        <v>8</v>
      </c>
      <c r="C18" s="7" t="str">
        <f>'Data Siswa'!C11&amp;""</f>
        <v>2893</v>
      </c>
      <c r="D18" s="25" t="str">
        <f>'Data Siswa'!E11&amp;""</f>
        <v>1-22-03-21-0827-0008-9</v>
      </c>
      <c r="E18" s="11" t="str">
        <f>'Data Siswa'!F11&amp;""</f>
        <v/>
      </c>
      <c r="F18" s="434"/>
      <c r="G18" s="413">
        <f>'REKAP RAPOR'!F15</f>
        <v>82.9</v>
      </c>
      <c r="H18" s="416"/>
      <c r="I18" s="416"/>
      <c r="J18" s="414">
        <f t="shared" si="1"/>
        <v>82.9</v>
      </c>
      <c r="K18" s="413">
        <f>'REKAP RAPOR'!G15</f>
        <v>80.7</v>
      </c>
      <c r="L18" s="416">
        <v>79</v>
      </c>
      <c r="M18" s="416"/>
      <c r="N18" s="414">
        <f t="shared" si="2"/>
        <v>79.849999999999994</v>
      </c>
      <c r="O18" s="413">
        <f>'REKAP RAPOR'!H15</f>
        <v>81.5</v>
      </c>
      <c r="P18" s="416">
        <v>81</v>
      </c>
      <c r="Q18" s="416"/>
      <c r="R18" s="414">
        <f t="shared" si="3"/>
        <v>81.25</v>
      </c>
      <c r="S18" s="413">
        <f>'REKAP RAPOR'!I15</f>
        <v>76.5</v>
      </c>
      <c r="T18" s="416">
        <v>69</v>
      </c>
      <c r="U18" s="416"/>
      <c r="V18" s="414">
        <f t="shared" si="4"/>
        <v>72.75</v>
      </c>
      <c r="W18" s="413">
        <f>'REKAP RAPOR'!J15</f>
        <v>80.3</v>
      </c>
      <c r="X18" s="416">
        <v>80</v>
      </c>
      <c r="Y18" s="416"/>
      <c r="Z18" s="414">
        <f t="shared" si="5"/>
        <v>80.150000000000006</v>
      </c>
      <c r="AA18" s="413">
        <f>'REKAP RAPOR'!K15</f>
        <v>81.900000000000006</v>
      </c>
      <c r="AB18" s="416">
        <v>74</v>
      </c>
      <c r="AC18" s="416"/>
      <c r="AD18" s="414">
        <f t="shared" si="6"/>
        <v>77.95</v>
      </c>
      <c r="AE18" s="413">
        <f>'REKAP RAPOR'!L15</f>
        <v>81.599999999999994</v>
      </c>
      <c r="AF18" s="416"/>
      <c r="AG18" s="416"/>
      <c r="AH18" s="414">
        <f t="shared" si="7"/>
        <v>81.599999999999994</v>
      </c>
      <c r="AI18" s="413">
        <f>'REKAP RAPOR'!M15</f>
        <v>82.4</v>
      </c>
      <c r="AJ18" s="416"/>
      <c r="AK18" s="416"/>
      <c r="AL18" s="414">
        <f t="shared" si="8"/>
        <v>82.4</v>
      </c>
      <c r="AM18" s="413">
        <f>'REKAP RAPOR'!N15</f>
        <v>80.3</v>
      </c>
      <c r="AN18" s="416"/>
      <c r="AO18" s="416"/>
      <c r="AP18" s="414">
        <f t="shared" si="9"/>
        <v>80.3</v>
      </c>
      <c r="AQ18" s="413" t="str">
        <f>'REKAP RAPOR'!O15</f>
        <v/>
      </c>
      <c r="AR18" s="416"/>
      <c r="AS18" s="416"/>
      <c r="AT18" s="414" t="str">
        <f t="shared" si="10"/>
        <v/>
      </c>
      <c r="AU18" s="413" t="str">
        <f>'REKAP RAPOR'!P15</f>
        <v/>
      </c>
      <c r="AV18" s="416"/>
      <c r="AW18" s="416"/>
      <c r="AX18" s="417" t="str">
        <f t="shared" si="11"/>
        <v/>
      </c>
      <c r="AY18" s="418">
        <f t="shared" si="12"/>
        <v>710.59999999999991</v>
      </c>
      <c r="AZ18" s="396">
        <f t="shared" si="13"/>
        <v>79.425000000000011</v>
      </c>
      <c r="BB18" s="35" t="str">
        <f t="shared" si="0"/>
        <v>Kosong</v>
      </c>
    </row>
    <row r="19" spans="2:54">
      <c r="B19" s="7">
        <v>9</v>
      </c>
      <c r="C19" s="7" t="str">
        <f>'Data Siswa'!C12&amp;""</f>
        <v>2892</v>
      </c>
      <c r="D19" s="25" t="str">
        <f>'Data Siswa'!E12&amp;""</f>
        <v>1-22-03-21-0827-0009-8</v>
      </c>
      <c r="E19" s="11" t="str">
        <f>'Data Siswa'!F12&amp;""</f>
        <v/>
      </c>
      <c r="F19" s="434"/>
      <c r="G19" s="413">
        <f>'REKAP RAPOR'!F16</f>
        <v>93.1</v>
      </c>
      <c r="H19" s="416"/>
      <c r="I19" s="416"/>
      <c r="J19" s="414">
        <f t="shared" si="1"/>
        <v>93.1</v>
      </c>
      <c r="K19" s="413">
        <f>'REKAP RAPOR'!G16</f>
        <v>89.7</v>
      </c>
      <c r="L19" s="416">
        <v>93</v>
      </c>
      <c r="M19" s="416"/>
      <c r="N19" s="414">
        <f t="shared" si="2"/>
        <v>91.35</v>
      </c>
      <c r="O19" s="413">
        <f>'REKAP RAPOR'!H16</f>
        <v>89.4</v>
      </c>
      <c r="P19" s="416">
        <v>92</v>
      </c>
      <c r="Q19" s="416"/>
      <c r="R19" s="414">
        <f t="shared" si="3"/>
        <v>90.7</v>
      </c>
      <c r="S19" s="413">
        <f>'REKAP RAPOR'!I16</f>
        <v>87.4</v>
      </c>
      <c r="T19" s="416">
        <v>97</v>
      </c>
      <c r="U19" s="416"/>
      <c r="V19" s="414">
        <f t="shared" si="4"/>
        <v>92.2</v>
      </c>
      <c r="W19" s="413">
        <f>'REKAP RAPOR'!J16</f>
        <v>86.6</v>
      </c>
      <c r="X19" s="416">
        <v>90</v>
      </c>
      <c r="Y19" s="416"/>
      <c r="Z19" s="414">
        <f t="shared" si="5"/>
        <v>88.3</v>
      </c>
      <c r="AA19" s="413">
        <f>'REKAP RAPOR'!K16</f>
        <v>88.8</v>
      </c>
      <c r="AB19" s="416">
        <v>95</v>
      </c>
      <c r="AC19" s="416"/>
      <c r="AD19" s="414">
        <f t="shared" si="6"/>
        <v>91.9</v>
      </c>
      <c r="AE19" s="413">
        <f>'REKAP RAPOR'!L16</f>
        <v>88.8</v>
      </c>
      <c r="AF19" s="416"/>
      <c r="AG19" s="416"/>
      <c r="AH19" s="414">
        <f t="shared" si="7"/>
        <v>88.8</v>
      </c>
      <c r="AI19" s="413">
        <f>'REKAP RAPOR'!M16</f>
        <v>88</v>
      </c>
      <c r="AJ19" s="416"/>
      <c r="AK19" s="416"/>
      <c r="AL19" s="414">
        <f t="shared" si="8"/>
        <v>88</v>
      </c>
      <c r="AM19" s="413">
        <f>'REKAP RAPOR'!N16</f>
        <v>85.9</v>
      </c>
      <c r="AN19" s="416"/>
      <c r="AO19" s="416"/>
      <c r="AP19" s="414">
        <f t="shared" si="9"/>
        <v>85.9</v>
      </c>
      <c r="AQ19" s="413" t="str">
        <f>'REKAP RAPOR'!O16</f>
        <v/>
      </c>
      <c r="AR19" s="416"/>
      <c r="AS19" s="416"/>
      <c r="AT19" s="414" t="str">
        <f t="shared" si="10"/>
        <v/>
      </c>
      <c r="AU19" s="413" t="str">
        <f>'REKAP RAPOR'!P16</f>
        <v/>
      </c>
      <c r="AV19" s="416"/>
      <c r="AW19" s="416"/>
      <c r="AX19" s="417" t="str">
        <f t="shared" si="11"/>
        <v/>
      </c>
      <c r="AY19" s="418">
        <f t="shared" si="12"/>
        <v>819.8</v>
      </c>
      <c r="AZ19" s="396">
        <f t="shared" si="13"/>
        <v>90.084090909090918</v>
      </c>
      <c r="BB19" s="35" t="str">
        <f t="shared" si="0"/>
        <v>Kosong</v>
      </c>
    </row>
    <row r="20" spans="2:54">
      <c r="B20" s="7">
        <v>10</v>
      </c>
      <c r="C20" s="7" t="str">
        <f>'Data Siswa'!C13&amp;""</f>
        <v>2894</v>
      </c>
      <c r="D20" s="25" t="str">
        <f>'Data Siswa'!E13&amp;""</f>
        <v>1-22-03-21-0827-0010-7</v>
      </c>
      <c r="E20" s="11" t="str">
        <f>'Data Siswa'!F13&amp;""</f>
        <v/>
      </c>
      <c r="F20" s="434"/>
      <c r="G20" s="413">
        <f>'REKAP RAPOR'!F17</f>
        <v>89.8</v>
      </c>
      <c r="H20" s="416"/>
      <c r="I20" s="416"/>
      <c r="J20" s="414">
        <f t="shared" si="1"/>
        <v>89.8</v>
      </c>
      <c r="K20" s="413">
        <f>'REKAP RAPOR'!G17</f>
        <v>88.4</v>
      </c>
      <c r="L20" s="416">
        <v>92</v>
      </c>
      <c r="M20" s="416"/>
      <c r="N20" s="414">
        <f t="shared" si="2"/>
        <v>90.2</v>
      </c>
      <c r="O20" s="413">
        <f>'REKAP RAPOR'!H17</f>
        <v>88.6</v>
      </c>
      <c r="P20" s="416">
        <v>90</v>
      </c>
      <c r="Q20" s="416"/>
      <c r="R20" s="414">
        <f t="shared" si="3"/>
        <v>89.3</v>
      </c>
      <c r="S20" s="413">
        <f>'REKAP RAPOR'!I17</f>
        <v>83.1</v>
      </c>
      <c r="T20" s="416">
        <v>95</v>
      </c>
      <c r="U20" s="416"/>
      <c r="V20" s="414">
        <f t="shared" si="4"/>
        <v>89.05</v>
      </c>
      <c r="W20" s="413">
        <f>'REKAP RAPOR'!J17</f>
        <v>85.5</v>
      </c>
      <c r="X20" s="416">
        <v>94</v>
      </c>
      <c r="Y20" s="416"/>
      <c r="Z20" s="414">
        <f t="shared" si="5"/>
        <v>89.75</v>
      </c>
      <c r="AA20" s="413">
        <f>'REKAP RAPOR'!K17</f>
        <v>84.2</v>
      </c>
      <c r="AB20" s="416">
        <v>94</v>
      </c>
      <c r="AC20" s="416"/>
      <c r="AD20" s="414">
        <f t="shared" si="6"/>
        <v>89.1</v>
      </c>
      <c r="AE20" s="413">
        <f>'REKAP RAPOR'!L17</f>
        <v>84.4</v>
      </c>
      <c r="AF20" s="416"/>
      <c r="AG20" s="416"/>
      <c r="AH20" s="414">
        <f t="shared" si="7"/>
        <v>84.4</v>
      </c>
      <c r="AI20" s="413">
        <f>'REKAP RAPOR'!M17</f>
        <v>88.2</v>
      </c>
      <c r="AJ20" s="416"/>
      <c r="AK20" s="416"/>
      <c r="AL20" s="414">
        <f t="shared" si="8"/>
        <v>88.2</v>
      </c>
      <c r="AM20" s="413">
        <f>'REKAP RAPOR'!N17</f>
        <v>85.7</v>
      </c>
      <c r="AN20" s="416"/>
      <c r="AO20" s="416"/>
      <c r="AP20" s="414">
        <f t="shared" si="9"/>
        <v>85.7</v>
      </c>
      <c r="AQ20" s="413" t="str">
        <f>'REKAP RAPOR'!O17</f>
        <v/>
      </c>
      <c r="AR20" s="416"/>
      <c r="AS20" s="416"/>
      <c r="AT20" s="414" t="str">
        <f t="shared" si="10"/>
        <v/>
      </c>
      <c r="AU20" s="413" t="str">
        <f>'REKAP RAPOR'!P17</f>
        <v/>
      </c>
      <c r="AV20" s="416"/>
      <c r="AW20" s="416"/>
      <c r="AX20" s="417" t="str">
        <f t="shared" si="11"/>
        <v/>
      </c>
      <c r="AY20" s="418">
        <f t="shared" si="12"/>
        <v>808.15000000000009</v>
      </c>
      <c r="AZ20" s="396">
        <f t="shared" si="13"/>
        <v>88.572727272727278</v>
      </c>
      <c r="BB20" s="35" t="str">
        <f t="shared" si="0"/>
        <v>Kosong</v>
      </c>
    </row>
    <row r="21" spans="2:54">
      <c r="B21" s="7">
        <v>11</v>
      </c>
      <c r="C21" s="7" t="str">
        <f>'Data Siswa'!C14&amp;""</f>
        <v>2895</v>
      </c>
      <c r="D21" s="25" t="str">
        <f>'Data Siswa'!E14&amp;""</f>
        <v>1-22-03-21-0827-0011-6</v>
      </c>
      <c r="E21" s="11" t="str">
        <f>'Data Siswa'!F14&amp;""</f>
        <v/>
      </c>
      <c r="F21" s="434"/>
      <c r="G21" s="413">
        <f>'REKAP RAPOR'!F18</f>
        <v>80.599999999999994</v>
      </c>
      <c r="H21" s="416"/>
      <c r="I21" s="416"/>
      <c r="J21" s="414">
        <f t="shared" si="1"/>
        <v>80.599999999999994</v>
      </c>
      <c r="K21" s="413">
        <f>'REKAP RAPOR'!G18</f>
        <v>80.5</v>
      </c>
      <c r="L21" s="416">
        <v>84</v>
      </c>
      <c r="M21" s="416"/>
      <c r="N21" s="414">
        <f t="shared" si="2"/>
        <v>82.25</v>
      </c>
      <c r="O21" s="413">
        <f>'REKAP RAPOR'!H18</f>
        <v>81.3</v>
      </c>
      <c r="P21" s="416">
        <v>83</v>
      </c>
      <c r="Q21" s="416"/>
      <c r="R21" s="414">
        <f t="shared" si="3"/>
        <v>82.15</v>
      </c>
      <c r="S21" s="413">
        <f>'REKAP RAPOR'!I18</f>
        <v>75.599999999999994</v>
      </c>
      <c r="T21" s="416">
        <v>70</v>
      </c>
      <c r="U21" s="416"/>
      <c r="V21" s="414">
        <f t="shared" si="4"/>
        <v>72.8</v>
      </c>
      <c r="W21" s="413">
        <f>'REKAP RAPOR'!J18</f>
        <v>79.5</v>
      </c>
      <c r="X21" s="416">
        <v>83</v>
      </c>
      <c r="Y21" s="416"/>
      <c r="Z21" s="414">
        <f t="shared" si="5"/>
        <v>81.25</v>
      </c>
      <c r="AA21" s="413">
        <f>'REKAP RAPOR'!K18</f>
        <v>80.599999999999994</v>
      </c>
      <c r="AB21" s="416">
        <v>85</v>
      </c>
      <c r="AC21" s="416"/>
      <c r="AD21" s="414">
        <f t="shared" si="6"/>
        <v>82.8</v>
      </c>
      <c r="AE21" s="413">
        <f>'REKAP RAPOR'!L18</f>
        <v>78.400000000000006</v>
      </c>
      <c r="AF21" s="416"/>
      <c r="AG21" s="416"/>
      <c r="AH21" s="414">
        <f t="shared" si="7"/>
        <v>78.400000000000006</v>
      </c>
      <c r="AI21" s="413">
        <f>'REKAP RAPOR'!M18</f>
        <v>81.2</v>
      </c>
      <c r="AJ21" s="416"/>
      <c r="AK21" s="416"/>
      <c r="AL21" s="414">
        <f t="shared" si="8"/>
        <v>81.2</v>
      </c>
      <c r="AM21" s="413">
        <f>'REKAP RAPOR'!N18</f>
        <v>77.900000000000006</v>
      </c>
      <c r="AN21" s="416"/>
      <c r="AO21" s="416"/>
      <c r="AP21" s="414">
        <f t="shared" si="9"/>
        <v>77.900000000000006</v>
      </c>
      <c r="AQ21" s="413" t="str">
        <f>'REKAP RAPOR'!O18</f>
        <v/>
      </c>
      <c r="AR21" s="416"/>
      <c r="AS21" s="416"/>
      <c r="AT21" s="414" t="str">
        <f t="shared" si="10"/>
        <v/>
      </c>
      <c r="AU21" s="413" t="str">
        <f>'REKAP RAPOR'!P18</f>
        <v/>
      </c>
      <c r="AV21" s="416"/>
      <c r="AW21" s="416"/>
      <c r="AX21" s="417" t="str">
        <f t="shared" si="11"/>
        <v/>
      </c>
      <c r="AY21" s="418">
        <f t="shared" si="12"/>
        <v>720.5</v>
      </c>
      <c r="AZ21" s="396">
        <f t="shared" si="13"/>
        <v>79.970454545454558</v>
      </c>
      <c r="BB21" s="35" t="str">
        <f t="shared" si="0"/>
        <v>Kosong</v>
      </c>
    </row>
    <row r="22" spans="2:54">
      <c r="B22" s="7">
        <v>12</v>
      </c>
      <c r="C22" s="7" t="str">
        <f>'Data Siswa'!C15&amp;""</f>
        <v>2896</v>
      </c>
      <c r="D22" s="25" t="str">
        <f>'Data Siswa'!E15&amp;""</f>
        <v>1-22-03-21-0827-0012-5</v>
      </c>
      <c r="E22" s="11" t="str">
        <f>'Data Siswa'!F15&amp;""</f>
        <v/>
      </c>
      <c r="F22" s="434"/>
      <c r="G22" s="413">
        <f>'REKAP RAPOR'!F19</f>
        <v>92.8</v>
      </c>
      <c r="H22" s="416"/>
      <c r="I22" s="416"/>
      <c r="J22" s="414">
        <f t="shared" si="1"/>
        <v>92.8</v>
      </c>
      <c r="K22" s="413">
        <f>'REKAP RAPOR'!G19</f>
        <v>89.3</v>
      </c>
      <c r="L22" s="416">
        <v>91</v>
      </c>
      <c r="M22" s="416"/>
      <c r="N22" s="414">
        <f t="shared" si="2"/>
        <v>90.15</v>
      </c>
      <c r="O22" s="413">
        <f>'REKAP RAPOR'!H19</f>
        <v>89.6</v>
      </c>
      <c r="P22" s="416">
        <v>93</v>
      </c>
      <c r="Q22" s="416"/>
      <c r="R22" s="414">
        <f t="shared" si="3"/>
        <v>91.3</v>
      </c>
      <c r="S22" s="413">
        <f>'REKAP RAPOR'!I19</f>
        <v>85.1</v>
      </c>
      <c r="T22" s="416">
        <v>78</v>
      </c>
      <c r="U22" s="416"/>
      <c r="V22" s="414">
        <f t="shared" si="4"/>
        <v>81.55</v>
      </c>
      <c r="W22" s="413">
        <f>'REKAP RAPOR'!J19</f>
        <v>88.4</v>
      </c>
      <c r="X22" s="416">
        <v>96</v>
      </c>
      <c r="Y22" s="416"/>
      <c r="Z22" s="414">
        <f t="shared" si="5"/>
        <v>92.2</v>
      </c>
      <c r="AA22" s="413">
        <f>'REKAP RAPOR'!K19</f>
        <v>88.4</v>
      </c>
      <c r="AB22" s="416">
        <v>94</v>
      </c>
      <c r="AC22" s="416"/>
      <c r="AD22" s="414">
        <f t="shared" si="6"/>
        <v>91.2</v>
      </c>
      <c r="AE22" s="413">
        <f>'REKAP RAPOR'!L19</f>
        <v>89.2</v>
      </c>
      <c r="AF22" s="416"/>
      <c r="AG22" s="416"/>
      <c r="AH22" s="414">
        <f t="shared" si="7"/>
        <v>89.2</v>
      </c>
      <c r="AI22" s="413">
        <f>'REKAP RAPOR'!M19</f>
        <v>88.1</v>
      </c>
      <c r="AJ22" s="416"/>
      <c r="AK22" s="416"/>
      <c r="AL22" s="414">
        <f t="shared" si="8"/>
        <v>88.1</v>
      </c>
      <c r="AM22" s="413">
        <f>'REKAP RAPOR'!N19</f>
        <v>86.9</v>
      </c>
      <c r="AN22" s="416"/>
      <c r="AO22" s="416"/>
      <c r="AP22" s="414">
        <f t="shared" si="9"/>
        <v>86.9</v>
      </c>
      <c r="AQ22" s="413" t="str">
        <f>'REKAP RAPOR'!O19</f>
        <v/>
      </c>
      <c r="AR22" s="416"/>
      <c r="AS22" s="416"/>
      <c r="AT22" s="414" t="str">
        <f t="shared" si="10"/>
        <v/>
      </c>
      <c r="AU22" s="413" t="str">
        <f>'REKAP RAPOR'!P19</f>
        <v/>
      </c>
      <c r="AV22" s="416"/>
      <c r="AW22" s="416"/>
      <c r="AX22" s="417" t="str">
        <f t="shared" si="11"/>
        <v/>
      </c>
      <c r="AY22" s="418">
        <f t="shared" si="12"/>
        <v>803.5</v>
      </c>
      <c r="AZ22" s="396">
        <f t="shared" si="13"/>
        <v>89.109090909090909</v>
      </c>
      <c r="BB22" s="35" t="str">
        <f t="shared" si="0"/>
        <v>Kosong</v>
      </c>
    </row>
    <row r="23" spans="2:54">
      <c r="B23" s="7">
        <v>13</v>
      </c>
      <c r="C23" s="7" t="str">
        <f>'Data Siswa'!C16&amp;""</f>
        <v>2897</v>
      </c>
      <c r="D23" s="25" t="str">
        <f>'Data Siswa'!E16&amp;""</f>
        <v>1-22-03-21-0827-0013-4</v>
      </c>
      <c r="E23" s="11" t="str">
        <f>'Data Siswa'!F16&amp;""</f>
        <v/>
      </c>
      <c r="F23" s="434"/>
      <c r="G23" s="413">
        <f>'REKAP RAPOR'!F20</f>
        <v>83.2</v>
      </c>
      <c r="H23" s="416"/>
      <c r="I23" s="416"/>
      <c r="J23" s="414">
        <f t="shared" si="1"/>
        <v>83.2</v>
      </c>
      <c r="K23" s="413">
        <f>'REKAP RAPOR'!G20</f>
        <v>79.8</v>
      </c>
      <c r="L23" s="416">
        <v>88</v>
      </c>
      <c r="M23" s="416"/>
      <c r="N23" s="414">
        <f t="shared" si="2"/>
        <v>83.9</v>
      </c>
      <c r="O23" s="413">
        <f>'REKAP RAPOR'!H20</f>
        <v>80.400000000000006</v>
      </c>
      <c r="P23" s="416">
        <v>83</v>
      </c>
      <c r="Q23" s="416"/>
      <c r="R23" s="414">
        <f t="shared" si="3"/>
        <v>81.7</v>
      </c>
      <c r="S23" s="413">
        <f>'REKAP RAPOR'!I20</f>
        <v>75</v>
      </c>
      <c r="T23" s="416">
        <v>67</v>
      </c>
      <c r="U23" s="416"/>
      <c r="V23" s="414">
        <f t="shared" si="4"/>
        <v>71</v>
      </c>
      <c r="W23" s="413">
        <f>'REKAP RAPOR'!J20</f>
        <v>78.7</v>
      </c>
      <c r="X23" s="416">
        <v>86</v>
      </c>
      <c r="Y23" s="416"/>
      <c r="Z23" s="414">
        <f t="shared" si="5"/>
        <v>82.35</v>
      </c>
      <c r="AA23" s="413">
        <f>'REKAP RAPOR'!K20</f>
        <v>79.7</v>
      </c>
      <c r="AB23" s="416">
        <v>83</v>
      </c>
      <c r="AC23" s="416"/>
      <c r="AD23" s="414">
        <f t="shared" si="6"/>
        <v>81.349999999999994</v>
      </c>
      <c r="AE23" s="413">
        <f>'REKAP RAPOR'!L20</f>
        <v>82.7</v>
      </c>
      <c r="AF23" s="416"/>
      <c r="AG23" s="416"/>
      <c r="AH23" s="414">
        <f t="shared" si="7"/>
        <v>82.7</v>
      </c>
      <c r="AI23" s="413">
        <f>'REKAP RAPOR'!M20</f>
        <v>81.599999999999994</v>
      </c>
      <c r="AJ23" s="416"/>
      <c r="AK23" s="416"/>
      <c r="AL23" s="414">
        <f t="shared" si="8"/>
        <v>81.599999999999994</v>
      </c>
      <c r="AM23" s="413">
        <f>'REKAP RAPOR'!N20</f>
        <v>77.400000000000006</v>
      </c>
      <c r="AN23" s="416"/>
      <c r="AO23" s="416"/>
      <c r="AP23" s="414">
        <f t="shared" si="9"/>
        <v>77.400000000000006</v>
      </c>
      <c r="AQ23" s="413" t="str">
        <f>'REKAP RAPOR'!O20</f>
        <v/>
      </c>
      <c r="AR23" s="416"/>
      <c r="AS23" s="416"/>
      <c r="AT23" s="414" t="str">
        <f t="shared" si="10"/>
        <v/>
      </c>
      <c r="AU23" s="413" t="str">
        <f>'REKAP RAPOR'!P20</f>
        <v/>
      </c>
      <c r="AV23" s="416"/>
      <c r="AW23" s="416"/>
      <c r="AX23" s="417" t="str">
        <f t="shared" si="11"/>
        <v/>
      </c>
      <c r="AY23" s="418">
        <f t="shared" si="12"/>
        <v>726.95</v>
      </c>
      <c r="AZ23" s="396">
        <f t="shared" si="13"/>
        <v>80.340909090909093</v>
      </c>
      <c r="BB23" s="35" t="str">
        <f t="shared" si="0"/>
        <v>Kosong</v>
      </c>
    </row>
    <row r="24" spans="2:54">
      <c r="B24" s="7">
        <v>14</v>
      </c>
      <c r="C24" s="7" t="str">
        <f>'Data Siswa'!C17&amp;""</f>
        <v>2898</v>
      </c>
      <c r="D24" s="25" t="str">
        <f>'Data Siswa'!E17&amp;""</f>
        <v>1-22-03-21-0827-0014-3</v>
      </c>
      <c r="E24" s="11" t="str">
        <f>'Data Siswa'!F17&amp;""</f>
        <v/>
      </c>
      <c r="F24" s="434"/>
      <c r="G24" s="413">
        <f>'REKAP RAPOR'!F21</f>
        <v>85.5</v>
      </c>
      <c r="H24" s="416"/>
      <c r="I24" s="416"/>
      <c r="J24" s="414">
        <f t="shared" si="1"/>
        <v>85.5</v>
      </c>
      <c r="K24" s="413">
        <f>'REKAP RAPOR'!G21</f>
        <v>81.3</v>
      </c>
      <c r="L24" s="416">
        <v>83</v>
      </c>
      <c r="M24" s="416"/>
      <c r="N24" s="414">
        <f t="shared" si="2"/>
        <v>82.15</v>
      </c>
      <c r="O24" s="413">
        <f>'REKAP RAPOR'!H21</f>
        <v>82.2</v>
      </c>
      <c r="P24" s="416">
        <v>84</v>
      </c>
      <c r="Q24" s="416"/>
      <c r="R24" s="414">
        <f t="shared" si="3"/>
        <v>83.1</v>
      </c>
      <c r="S24" s="413">
        <f>'REKAP RAPOR'!I21</f>
        <v>76</v>
      </c>
      <c r="T24" s="416">
        <v>65</v>
      </c>
      <c r="U24" s="416"/>
      <c r="V24" s="414">
        <f t="shared" si="4"/>
        <v>70.5</v>
      </c>
      <c r="W24" s="413">
        <f>'REKAP RAPOR'!J21</f>
        <v>80.3</v>
      </c>
      <c r="X24" s="416">
        <v>78</v>
      </c>
      <c r="Y24" s="416"/>
      <c r="Z24" s="414">
        <f t="shared" si="5"/>
        <v>79.150000000000006</v>
      </c>
      <c r="AA24" s="413">
        <f>'REKAP RAPOR'!K21</f>
        <v>82.4</v>
      </c>
      <c r="AB24" s="416">
        <v>82</v>
      </c>
      <c r="AC24" s="416"/>
      <c r="AD24" s="414">
        <f t="shared" si="6"/>
        <v>82.2</v>
      </c>
      <c r="AE24" s="413">
        <f>'REKAP RAPOR'!L21</f>
        <v>82.5</v>
      </c>
      <c r="AF24" s="416"/>
      <c r="AG24" s="416"/>
      <c r="AH24" s="414">
        <f t="shared" si="7"/>
        <v>82.5</v>
      </c>
      <c r="AI24" s="413">
        <f>'REKAP RAPOR'!M21</f>
        <v>82.6</v>
      </c>
      <c r="AJ24" s="416"/>
      <c r="AK24" s="416"/>
      <c r="AL24" s="414">
        <f t="shared" si="8"/>
        <v>82.6</v>
      </c>
      <c r="AM24" s="413">
        <f>'REKAP RAPOR'!N21</f>
        <v>80.099999999999994</v>
      </c>
      <c r="AN24" s="416"/>
      <c r="AO24" s="416"/>
      <c r="AP24" s="414">
        <f t="shared" si="9"/>
        <v>80.099999999999994</v>
      </c>
      <c r="AQ24" s="413" t="str">
        <f>'REKAP RAPOR'!O21</f>
        <v/>
      </c>
      <c r="AR24" s="416"/>
      <c r="AS24" s="416"/>
      <c r="AT24" s="414" t="str">
        <f t="shared" si="10"/>
        <v/>
      </c>
      <c r="AU24" s="413" t="str">
        <f>'REKAP RAPOR'!P21</f>
        <v/>
      </c>
      <c r="AV24" s="416"/>
      <c r="AW24" s="416"/>
      <c r="AX24" s="417" t="str">
        <f t="shared" si="11"/>
        <v/>
      </c>
      <c r="AY24" s="418">
        <f t="shared" si="12"/>
        <v>722.95</v>
      </c>
      <c r="AZ24" s="396">
        <f t="shared" si="13"/>
        <v>80.327272727272714</v>
      </c>
      <c r="BB24" s="35" t="str">
        <f t="shared" si="0"/>
        <v>Kosong</v>
      </c>
    </row>
    <row r="25" spans="2:54">
      <c r="B25" s="7">
        <v>15</v>
      </c>
      <c r="C25" s="7" t="str">
        <f>'Data Siswa'!C18&amp;""</f>
        <v>2900</v>
      </c>
      <c r="D25" s="25" t="str">
        <f>'Data Siswa'!E18&amp;""</f>
        <v>1-22-03-21-0827-0015-2</v>
      </c>
      <c r="E25" s="11" t="str">
        <f>'Data Siswa'!F18&amp;""</f>
        <v/>
      </c>
      <c r="F25" s="434"/>
      <c r="G25" s="413">
        <f>'REKAP RAPOR'!F22</f>
        <v>82.7</v>
      </c>
      <c r="H25" s="416"/>
      <c r="I25" s="416"/>
      <c r="J25" s="414">
        <f t="shared" si="1"/>
        <v>82.7</v>
      </c>
      <c r="K25" s="413">
        <f>'REKAP RAPOR'!G22</f>
        <v>81.900000000000006</v>
      </c>
      <c r="L25" s="416">
        <v>71</v>
      </c>
      <c r="M25" s="416"/>
      <c r="N25" s="414">
        <f t="shared" si="2"/>
        <v>76.45</v>
      </c>
      <c r="O25" s="413">
        <f>'REKAP RAPOR'!H22</f>
        <v>83.2</v>
      </c>
      <c r="P25" s="416">
        <v>71</v>
      </c>
      <c r="Q25" s="416"/>
      <c r="R25" s="414">
        <f t="shared" si="3"/>
        <v>77.099999999999994</v>
      </c>
      <c r="S25" s="413">
        <f>'REKAP RAPOR'!I22</f>
        <v>78.900000000000006</v>
      </c>
      <c r="T25" s="416">
        <v>74</v>
      </c>
      <c r="U25" s="416"/>
      <c r="V25" s="414">
        <f t="shared" si="4"/>
        <v>76.45</v>
      </c>
      <c r="W25" s="413">
        <f>'REKAP RAPOR'!J22</f>
        <v>82.3</v>
      </c>
      <c r="X25" s="416">
        <v>77</v>
      </c>
      <c r="Y25" s="416"/>
      <c r="Z25" s="414">
        <f t="shared" si="5"/>
        <v>79.650000000000006</v>
      </c>
      <c r="AA25" s="413">
        <f>'REKAP RAPOR'!K22</f>
        <v>82.4</v>
      </c>
      <c r="AB25" s="416">
        <v>64</v>
      </c>
      <c r="AC25" s="416"/>
      <c r="AD25" s="414">
        <f t="shared" si="6"/>
        <v>73.2</v>
      </c>
      <c r="AE25" s="413">
        <f>'REKAP RAPOR'!L22</f>
        <v>83.7</v>
      </c>
      <c r="AF25" s="416"/>
      <c r="AG25" s="416"/>
      <c r="AH25" s="414">
        <f t="shared" si="7"/>
        <v>83.7</v>
      </c>
      <c r="AI25" s="413">
        <f>'REKAP RAPOR'!M22</f>
        <v>82.3</v>
      </c>
      <c r="AJ25" s="416"/>
      <c r="AK25" s="416"/>
      <c r="AL25" s="414">
        <f t="shared" si="8"/>
        <v>82.3</v>
      </c>
      <c r="AM25" s="413">
        <f>'REKAP RAPOR'!N22</f>
        <v>79.5</v>
      </c>
      <c r="AN25" s="416"/>
      <c r="AO25" s="416"/>
      <c r="AP25" s="414">
        <f t="shared" si="9"/>
        <v>79.5</v>
      </c>
      <c r="AQ25" s="413" t="str">
        <f>'REKAP RAPOR'!O22</f>
        <v/>
      </c>
      <c r="AR25" s="416"/>
      <c r="AS25" s="416"/>
      <c r="AT25" s="414" t="str">
        <f t="shared" si="10"/>
        <v/>
      </c>
      <c r="AU25" s="413" t="str">
        <f>'REKAP RAPOR'!P22</f>
        <v/>
      </c>
      <c r="AV25" s="416"/>
      <c r="AW25" s="416"/>
      <c r="AX25" s="417" t="str">
        <f t="shared" si="11"/>
        <v/>
      </c>
      <c r="AY25" s="418">
        <f t="shared" si="12"/>
        <v>693.94999999999993</v>
      </c>
      <c r="AZ25" s="396">
        <f t="shared" si="13"/>
        <v>78.284090909090907</v>
      </c>
      <c r="BB25" s="35" t="str">
        <f t="shared" si="0"/>
        <v>Kosong</v>
      </c>
    </row>
    <row r="26" spans="2:54">
      <c r="B26" s="7">
        <v>16</v>
      </c>
      <c r="C26" s="7" t="str">
        <f>'Data Siswa'!C19&amp;""</f>
        <v>2899</v>
      </c>
      <c r="D26" s="25" t="str">
        <f>'Data Siswa'!E19&amp;""</f>
        <v>1-22-03-21-0827-0016-9</v>
      </c>
      <c r="E26" s="11" t="str">
        <f>'Data Siswa'!F19&amp;""</f>
        <v/>
      </c>
      <c r="F26" s="434"/>
      <c r="G26" s="413">
        <f>'REKAP RAPOR'!F23</f>
        <v>86.6</v>
      </c>
      <c r="H26" s="416"/>
      <c r="I26" s="416"/>
      <c r="J26" s="414">
        <f t="shared" si="1"/>
        <v>86.6</v>
      </c>
      <c r="K26" s="413">
        <f>'REKAP RAPOR'!G23</f>
        <v>82.7</v>
      </c>
      <c r="L26" s="416">
        <v>84</v>
      </c>
      <c r="M26" s="416"/>
      <c r="N26" s="414">
        <f t="shared" si="2"/>
        <v>83.35</v>
      </c>
      <c r="O26" s="413">
        <f>'REKAP RAPOR'!H23</f>
        <v>83.4</v>
      </c>
      <c r="P26" s="416">
        <v>82</v>
      </c>
      <c r="Q26" s="416"/>
      <c r="R26" s="414">
        <f t="shared" si="3"/>
        <v>82.7</v>
      </c>
      <c r="S26" s="413">
        <f>'REKAP RAPOR'!I23</f>
        <v>79.400000000000006</v>
      </c>
      <c r="T26" s="416">
        <v>78</v>
      </c>
      <c r="U26" s="416"/>
      <c r="V26" s="414">
        <f t="shared" si="4"/>
        <v>78.7</v>
      </c>
      <c r="W26" s="413">
        <f>'REKAP RAPOR'!J23</f>
        <v>83.1</v>
      </c>
      <c r="X26" s="416">
        <v>75</v>
      </c>
      <c r="Y26" s="416"/>
      <c r="Z26" s="414">
        <f t="shared" si="5"/>
        <v>79.05</v>
      </c>
      <c r="AA26" s="413">
        <f>'REKAP RAPOR'!K23</f>
        <v>84.5</v>
      </c>
      <c r="AB26" s="416">
        <v>80</v>
      </c>
      <c r="AC26" s="416"/>
      <c r="AD26" s="414">
        <f t="shared" si="6"/>
        <v>82.25</v>
      </c>
      <c r="AE26" s="413">
        <f>'REKAP RAPOR'!L23</f>
        <v>83.7</v>
      </c>
      <c r="AF26" s="416"/>
      <c r="AG26" s="416"/>
      <c r="AH26" s="414">
        <f t="shared" si="7"/>
        <v>83.7</v>
      </c>
      <c r="AI26" s="413">
        <f>'REKAP RAPOR'!M23</f>
        <v>82.6</v>
      </c>
      <c r="AJ26" s="416"/>
      <c r="AK26" s="416"/>
      <c r="AL26" s="414">
        <f t="shared" si="8"/>
        <v>82.6</v>
      </c>
      <c r="AM26" s="413">
        <f>'REKAP RAPOR'!N23</f>
        <v>81.599999999999994</v>
      </c>
      <c r="AN26" s="416"/>
      <c r="AO26" s="416"/>
      <c r="AP26" s="414">
        <f t="shared" si="9"/>
        <v>81.599999999999994</v>
      </c>
      <c r="AQ26" s="413" t="str">
        <f>'REKAP RAPOR'!O23</f>
        <v/>
      </c>
      <c r="AR26" s="416"/>
      <c r="AS26" s="416"/>
      <c r="AT26" s="414" t="str">
        <f t="shared" si="10"/>
        <v/>
      </c>
      <c r="AU26" s="413" t="str">
        <f>'REKAP RAPOR'!P23</f>
        <v/>
      </c>
      <c r="AV26" s="416"/>
      <c r="AW26" s="416"/>
      <c r="AX26" s="417" t="str">
        <f t="shared" si="11"/>
        <v/>
      </c>
      <c r="AY26" s="418">
        <f t="shared" si="12"/>
        <v>738.25000000000011</v>
      </c>
      <c r="AZ26" s="396">
        <f t="shared" si="13"/>
        <v>81.843181818181804</v>
      </c>
      <c r="BB26" s="35" t="str">
        <f t="shared" si="0"/>
        <v>Kosong</v>
      </c>
    </row>
    <row r="27" spans="2:54">
      <c r="B27" s="7">
        <v>17</v>
      </c>
      <c r="C27" s="7" t="str">
        <f>'Data Siswa'!C20&amp;""</f>
        <v>2901</v>
      </c>
      <c r="D27" s="25" t="str">
        <f>'Data Siswa'!E20&amp;""</f>
        <v>1-22-03-21-0827-0017-8</v>
      </c>
      <c r="E27" s="11" t="str">
        <f>'Data Siswa'!F20&amp;""</f>
        <v/>
      </c>
      <c r="F27" s="434"/>
      <c r="G27" s="413">
        <f>'REKAP RAPOR'!F24</f>
        <v>88.5</v>
      </c>
      <c r="H27" s="416"/>
      <c r="I27" s="416"/>
      <c r="J27" s="414">
        <f t="shared" si="1"/>
        <v>88.5</v>
      </c>
      <c r="K27" s="413">
        <f>'REKAP RAPOR'!G24</f>
        <v>83.7</v>
      </c>
      <c r="L27" s="416">
        <v>85</v>
      </c>
      <c r="M27" s="416"/>
      <c r="N27" s="414">
        <f t="shared" si="2"/>
        <v>84.35</v>
      </c>
      <c r="O27" s="413">
        <f>'REKAP RAPOR'!H24</f>
        <v>85.5</v>
      </c>
      <c r="P27" s="416">
        <v>86</v>
      </c>
      <c r="Q27" s="416"/>
      <c r="R27" s="414">
        <f t="shared" si="3"/>
        <v>85.75</v>
      </c>
      <c r="S27" s="413">
        <f>'REKAP RAPOR'!I24</f>
        <v>82.8</v>
      </c>
      <c r="T27" s="416">
        <v>68</v>
      </c>
      <c r="U27" s="416"/>
      <c r="V27" s="414">
        <f t="shared" si="4"/>
        <v>75.400000000000006</v>
      </c>
      <c r="W27" s="413">
        <f>'REKAP RAPOR'!J24</f>
        <v>83.4</v>
      </c>
      <c r="X27" s="416">
        <v>83</v>
      </c>
      <c r="Y27" s="416"/>
      <c r="Z27" s="414">
        <f t="shared" si="5"/>
        <v>83.2</v>
      </c>
      <c r="AA27" s="413">
        <f>'REKAP RAPOR'!K24</f>
        <v>82.4</v>
      </c>
      <c r="AB27" s="416">
        <v>81</v>
      </c>
      <c r="AC27" s="416"/>
      <c r="AD27" s="414">
        <f t="shared" si="6"/>
        <v>81.7</v>
      </c>
      <c r="AE27" s="413">
        <f>'REKAP RAPOR'!L24</f>
        <v>83.7</v>
      </c>
      <c r="AF27" s="416"/>
      <c r="AG27" s="416"/>
      <c r="AH27" s="414">
        <f t="shared" si="7"/>
        <v>83.7</v>
      </c>
      <c r="AI27" s="413">
        <f>'REKAP RAPOR'!M24</f>
        <v>81.5</v>
      </c>
      <c r="AJ27" s="416"/>
      <c r="AK27" s="416"/>
      <c r="AL27" s="414">
        <f t="shared" si="8"/>
        <v>81.5</v>
      </c>
      <c r="AM27" s="413">
        <f>'REKAP RAPOR'!N24</f>
        <v>84.9</v>
      </c>
      <c r="AN27" s="416"/>
      <c r="AO27" s="416"/>
      <c r="AP27" s="414">
        <f t="shared" si="9"/>
        <v>84.9</v>
      </c>
      <c r="AQ27" s="413" t="str">
        <f>'REKAP RAPOR'!O24</f>
        <v/>
      </c>
      <c r="AR27" s="416"/>
      <c r="AS27" s="416"/>
      <c r="AT27" s="414" t="str">
        <f t="shared" si="10"/>
        <v/>
      </c>
      <c r="AU27" s="413" t="str">
        <f>'REKAP RAPOR'!P24</f>
        <v/>
      </c>
      <c r="AV27" s="416"/>
      <c r="AW27" s="416"/>
      <c r="AX27" s="417" t="str">
        <f t="shared" si="11"/>
        <v/>
      </c>
      <c r="AY27" s="418">
        <f t="shared" si="12"/>
        <v>741.55</v>
      </c>
      <c r="AZ27" s="396">
        <f t="shared" si="13"/>
        <v>82.722727272727283</v>
      </c>
      <c r="BB27" s="35" t="str">
        <f t="shared" si="0"/>
        <v>Kosong</v>
      </c>
    </row>
    <row r="28" spans="2:54">
      <c r="B28" s="7">
        <v>18</v>
      </c>
      <c r="C28" s="7" t="str">
        <f>'Data Siswa'!C21&amp;""</f>
        <v>2902</v>
      </c>
      <c r="D28" s="25" t="str">
        <f>'Data Siswa'!E21&amp;""</f>
        <v>1-22-03-21-0827-0018-7</v>
      </c>
      <c r="E28" s="11" t="str">
        <f>'Data Siswa'!F21&amp;""</f>
        <v/>
      </c>
      <c r="F28" s="434"/>
      <c r="G28" s="413">
        <f>'REKAP RAPOR'!F25</f>
        <v>93.4</v>
      </c>
      <c r="H28" s="416"/>
      <c r="I28" s="416"/>
      <c r="J28" s="414">
        <f t="shared" si="1"/>
        <v>93.4</v>
      </c>
      <c r="K28" s="413">
        <f>'REKAP RAPOR'!G25</f>
        <v>87.8</v>
      </c>
      <c r="L28" s="416">
        <v>91</v>
      </c>
      <c r="M28" s="416"/>
      <c r="N28" s="414">
        <f t="shared" si="2"/>
        <v>89.4</v>
      </c>
      <c r="O28" s="413">
        <f>'REKAP RAPOR'!H25</f>
        <v>87.3</v>
      </c>
      <c r="P28" s="416">
        <v>92</v>
      </c>
      <c r="Q28" s="416"/>
      <c r="R28" s="414">
        <f t="shared" si="3"/>
        <v>89.65</v>
      </c>
      <c r="S28" s="413">
        <f>'REKAP RAPOR'!I25</f>
        <v>85.8</v>
      </c>
      <c r="T28" s="416">
        <v>90</v>
      </c>
      <c r="U28" s="416"/>
      <c r="V28" s="414">
        <f t="shared" si="4"/>
        <v>87.9</v>
      </c>
      <c r="W28" s="413">
        <f>'REKAP RAPOR'!J25</f>
        <v>85.2</v>
      </c>
      <c r="X28" s="416">
        <v>87</v>
      </c>
      <c r="Y28" s="416"/>
      <c r="Z28" s="414">
        <f t="shared" si="5"/>
        <v>86.1</v>
      </c>
      <c r="AA28" s="413">
        <f>'REKAP RAPOR'!K25</f>
        <v>86</v>
      </c>
      <c r="AB28" s="416">
        <v>87</v>
      </c>
      <c r="AC28" s="416"/>
      <c r="AD28" s="414">
        <f t="shared" si="6"/>
        <v>86.5</v>
      </c>
      <c r="AE28" s="413">
        <f>'REKAP RAPOR'!L25</f>
        <v>85.6</v>
      </c>
      <c r="AF28" s="416"/>
      <c r="AG28" s="416"/>
      <c r="AH28" s="414">
        <f t="shared" si="7"/>
        <v>85.6</v>
      </c>
      <c r="AI28" s="413">
        <f>'REKAP RAPOR'!M25</f>
        <v>86.9</v>
      </c>
      <c r="AJ28" s="416"/>
      <c r="AK28" s="416"/>
      <c r="AL28" s="414">
        <f t="shared" si="8"/>
        <v>86.9</v>
      </c>
      <c r="AM28" s="413">
        <f>'REKAP RAPOR'!N25</f>
        <v>86.3</v>
      </c>
      <c r="AN28" s="416"/>
      <c r="AO28" s="416"/>
      <c r="AP28" s="414">
        <f t="shared" si="9"/>
        <v>86.3</v>
      </c>
      <c r="AQ28" s="413" t="str">
        <f>'REKAP RAPOR'!O25</f>
        <v/>
      </c>
      <c r="AR28" s="416"/>
      <c r="AS28" s="416"/>
      <c r="AT28" s="414" t="str">
        <f t="shared" si="10"/>
        <v/>
      </c>
      <c r="AU28" s="413" t="str">
        <f>'REKAP RAPOR'!P25</f>
        <v/>
      </c>
      <c r="AV28" s="416"/>
      <c r="AW28" s="416"/>
      <c r="AX28" s="417" t="str">
        <f t="shared" si="11"/>
        <v/>
      </c>
      <c r="AY28" s="418">
        <f t="shared" si="12"/>
        <v>795.94999999999993</v>
      </c>
      <c r="AZ28" s="396">
        <f t="shared" si="13"/>
        <v>87.711363636363629</v>
      </c>
      <c r="BB28" s="35" t="str">
        <f t="shared" si="0"/>
        <v>Kosong</v>
      </c>
    </row>
    <row r="29" spans="2:54">
      <c r="B29" s="7">
        <v>19</v>
      </c>
      <c r="C29" s="7" t="str">
        <f>'Data Siswa'!C22&amp;""</f>
        <v>2904</v>
      </c>
      <c r="D29" s="25" t="str">
        <f>'Data Siswa'!E22&amp;""</f>
        <v>1-22-03-21-0827-0019-6</v>
      </c>
      <c r="E29" s="11" t="str">
        <f>'Data Siswa'!F22&amp;""</f>
        <v/>
      </c>
      <c r="F29" s="434"/>
      <c r="G29" s="413">
        <f>'REKAP RAPOR'!F26</f>
        <v>87.6</v>
      </c>
      <c r="H29" s="416"/>
      <c r="I29" s="416"/>
      <c r="J29" s="414">
        <f t="shared" si="1"/>
        <v>87.6</v>
      </c>
      <c r="K29" s="413">
        <f>'REKAP RAPOR'!G26</f>
        <v>84.3</v>
      </c>
      <c r="L29" s="416">
        <v>92</v>
      </c>
      <c r="M29" s="416"/>
      <c r="N29" s="414">
        <f t="shared" si="2"/>
        <v>88.15</v>
      </c>
      <c r="O29" s="413">
        <f>'REKAP RAPOR'!H26</f>
        <v>83.3</v>
      </c>
      <c r="P29" s="416">
        <v>89</v>
      </c>
      <c r="Q29" s="416"/>
      <c r="R29" s="414">
        <f t="shared" si="3"/>
        <v>86.15</v>
      </c>
      <c r="S29" s="413">
        <f>'REKAP RAPOR'!I26</f>
        <v>82.7</v>
      </c>
      <c r="T29" s="416">
        <v>79</v>
      </c>
      <c r="U29" s="416"/>
      <c r="V29" s="414">
        <f t="shared" si="4"/>
        <v>80.849999999999994</v>
      </c>
      <c r="W29" s="413">
        <f>'REKAP RAPOR'!J26</f>
        <v>82.8</v>
      </c>
      <c r="X29" s="416">
        <v>81</v>
      </c>
      <c r="Y29" s="416"/>
      <c r="Z29" s="414">
        <f t="shared" si="5"/>
        <v>81.900000000000006</v>
      </c>
      <c r="AA29" s="413">
        <f>'REKAP RAPOR'!K26</f>
        <v>83.7</v>
      </c>
      <c r="AB29" s="416">
        <v>84</v>
      </c>
      <c r="AC29" s="416"/>
      <c r="AD29" s="414">
        <f t="shared" si="6"/>
        <v>83.85</v>
      </c>
      <c r="AE29" s="413">
        <f>'REKAP RAPOR'!L26</f>
        <v>80.099999999999994</v>
      </c>
      <c r="AF29" s="416"/>
      <c r="AG29" s="416"/>
      <c r="AH29" s="414">
        <f t="shared" si="7"/>
        <v>80.099999999999994</v>
      </c>
      <c r="AI29" s="413">
        <f>'REKAP RAPOR'!M26</f>
        <v>84</v>
      </c>
      <c r="AJ29" s="416"/>
      <c r="AK29" s="416"/>
      <c r="AL29" s="414">
        <f t="shared" si="8"/>
        <v>84</v>
      </c>
      <c r="AM29" s="413">
        <f>'REKAP RAPOR'!N26</f>
        <v>77.400000000000006</v>
      </c>
      <c r="AN29" s="416"/>
      <c r="AO29" s="416"/>
      <c r="AP29" s="414">
        <f t="shared" si="9"/>
        <v>77.400000000000006</v>
      </c>
      <c r="AQ29" s="413" t="str">
        <f>'REKAP RAPOR'!O26</f>
        <v/>
      </c>
      <c r="AR29" s="416"/>
      <c r="AS29" s="416"/>
      <c r="AT29" s="414" t="str">
        <f t="shared" si="10"/>
        <v/>
      </c>
      <c r="AU29" s="413" t="str">
        <f>'REKAP RAPOR'!P26</f>
        <v/>
      </c>
      <c r="AV29" s="416"/>
      <c r="AW29" s="416"/>
      <c r="AX29" s="417" t="str">
        <f t="shared" si="11"/>
        <v/>
      </c>
      <c r="AY29" s="418">
        <f t="shared" si="12"/>
        <v>752.15</v>
      </c>
      <c r="AZ29" s="396">
        <f t="shared" si="13"/>
        <v>83.331818181818178</v>
      </c>
      <c r="BB29" s="35" t="str">
        <f t="shared" si="0"/>
        <v>Kosong</v>
      </c>
    </row>
    <row r="30" spans="2:54">
      <c r="B30" s="7">
        <v>20</v>
      </c>
      <c r="C30" s="7" t="str">
        <f>'Data Siswa'!C23&amp;""</f>
        <v>1111</v>
      </c>
      <c r="D30" s="25" t="str">
        <f>'Data Siswa'!E23&amp;""</f>
        <v>1-22-03-21-0827-0020-5</v>
      </c>
      <c r="E30" s="11" t="str">
        <f>'Data Siswa'!F23&amp;""</f>
        <v/>
      </c>
      <c r="F30" s="434"/>
      <c r="G30" s="413">
        <f>'REKAP RAPOR'!F27</f>
        <v>85.7</v>
      </c>
      <c r="H30" s="416"/>
      <c r="I30" s="416"/>
      <c r="J30" s="414">
        <f t="shared" si="1"/>
        <v>85.7</v>
      </c>
      <c r="K30" s="413">
        <f>'REKAP RAPOR'!G27</f>
        <v>84.5</v>
      </c>
      <c r="L30" s="416">
        <v>93</v>
      </c>
      <c r="M30" s="416"/>
      <c r="N30" s="414">
        <f t="shared" si="2"/>
        <v>88.75</v>
      </c>
      <c r="O30" s="413">
        <f>'REKAP RAPOR'!H27</f>
        <v>86</v>
      </c>
      <c r="P30" s="416">
        <v>88</v>
      </c>
      <c r="Q30" s="416"/>
      <c r="R30" s="414">
        <f t="shared" si="3"/>
        <v>87</v>
      </c>
      <c r="S30" s="413">
        <f>'REKAP RAPOR'!I27</f>
        <v>80.5</v>
      </c>
      <c r="T30" s="416">
        <v>85</v>
      </c>
      <c r="U30" s="416"/>
      <c r="V30" s="414">
        <f t="shared" si="4"/>
        <v>82.75</v>
      </c>
      <c r="W30" s="413">
        <f>'REKAP RAPOR'!J27</f>
        <v>82.4</v>
      </c>
      <c r="X30" s="416">
        <v>88</v>
      </c>
      <c r="Y30" s="416"/>
      <c r="Z30" s="414">
        <f t="shared" si="5"/>
        <v>85.2</v>
      </c>
      <c r="AA30" s="413">
        <f>'REKAP RAPOR'!K27</f>
        <v>83.4</v>
      </c>
      <c r="AB30" s="416">
        <v>89</v>
      </c>
      <c r="AC30" s="416"/>
      <c r="AD30" s="414">
        <f t="shared" si="6"/>
        <v>86.2</v>
      </c>
      <c r="AE30" s="413">
        <f>'REKAP RAPOR'!L27</f>
        <v>83.4</v>
      </c>
      <c r="AF30" s="416"/>
      <c r="AG30" s="416"/>
      <c r="AH30" s="414">
        <f t="shared" si="7"/>
        <v>83.4</v>
      </c>
      <c r="AI30" s="413">
        <f>'REKAP RAPOR'!M27</f>
        <v>85</v>
      </c>
      <c r="AJ30" s="416"/>
      <c r="AK30" s="416"/>
      <c r="AL30" s="414">
        <f t="shared" si="8"/>
        <v>85</v>
      </c>
      <c r="AM30" s="413">
        <f>'REKAP RAPOR'!N27</f>
        <v>83.1</v>
      </c>
      <c r="AN30" s="416"/>
      <c r="AO30" s="416"/>
      <c r="AP30" s="414">
        <f t="shared" si="9"/>
        <v>83.1</v>
      </c>
      <c r="AQ30" s="413" t="str">
        <f>'REKAP RAPOR'!O27</f>
        <v/>
      </c>
      <c r="AR30" s="416"/>
      <c r="AS30" s="416"/>
      <c r="AT30" s="414" t="str">
        <f t="shared" si="10"/>
        <v/>
      </c>
      <c r="AU30" s="413" t="str">
        <f>'REKAP RAPOR'!P27</f>
        <v/>
      </c>
      <c r="AV30" s="416"/>
      <c r="AW30" s="416"/>
      <c r="AX30" s="417" t="str">
        <f t="shared" si="11"/>
        <v/>
      </c>
      <c r="AY30" s="418">
        <f t="shared" si="12"/>
        <v>776.4</v>
      </c>
      <c r="AZ30" s="396">
        <f t="shared" si="13"/>
        <v>85.38181818181819</v>
      </c>
      <c r="BB30" s="35" t="str">
        <f t="shared" si="0"/>
        <v>Kosong</v>
      </c>
    </row>
    <row r="31" spans="2:54">
      <c r="B31" s="7">
        <v>21</v>
      </c>
      <c r="C31" s="7" t="str">
        <f>'Data Siswa'!C24&amp;""</f>
        <v>2906</v>
      </c>
      <c r="D31" s="25" t="str">
        <f>'Data Siswa'!E24&amp;""</f>
        <v>1-22-03-21-0827-0021-4</v>
      </c>
      <c r="E31" s="11" t="str">
        <f>'Data Siswa'!F24&amp;""</f>
        <v/>
      </c>
      <c r="F31" s="434"/>
      <c r="G31" s="413">
        <f>'REKAP RAPOR'!F28</f>
        <v>81.2</v>
      </c>
      <c r="H31" s="416"/>
      <c r="I31" s="416"/>
      <c r="J31" s="414">
        <f t="shared" si="1"/>
        <v>81.2</v>
      </c>
      <c r="K31" s="413">
        <f>'REKAP RAPOR'!G28</f>
        <v>77.5</v>
      </c>
      <c r="L31" s="416">
        <v>77</v>
      </c>
      <c r="M31" s="416"/>
      <c r="N31" s="414">
        <f t="shared" si="2"/>
        <v>77.25</v>
      </c>
      <c r="O31" s="413">
        <f>'REKAP RAPOR'!H28</f>
        <v>78.7</v>
      </c>
      <c r="P31" s="416">
        <v>86</v>
      </c>
      <c r="Q31" s="416"/>
      <c r="R31" s="414">
        <f t="shared" si="3"/>
        <v>82.35</v>
      </c>
      <c r="S31" s="413">
        <f>'REKAP RAPOR'!I28</f>
        <v>69.2</v>
      </c>
      <c r="T31" s="416">
        <v>81</v>
      </c>
      <c r="U31" s="416"/>
      <c r="V31" s="414">
        <f t="shared" si="4"/>
        <v>75.099999999999994</v>
      </c>
      <c r="W31" s="413">
        <f>'REKAP RAPOR'!J28</f>
        <v>76.400000000000006</v>
      </c>
      <c r="X31" s="416">
        <v>78</v>
      </c>
      <c r="Y31" s="416"/>
      <c r="Z31" s="414">
        <f t="shared" si="5"/>
        <v>77.2</v>
      </c>
      <c r="AA31" s="413">
        <f>'REKAP RAPOR'!K28</f>
        <v>77.7</v>
      </c>
      <c r="AB31" s="416">
        <v>79</v>
      </c>
      <c r="AC31" s="416"/>
      <c r="AD31" s="414">
        <f t="shared" si="6"/>
        <v>78.349999999999994</v>
      </c>
      <c r="AE31" s="413">
        <f>'REKAP RAPOR'!L28</f>
        <v>76.400000000000006</v>
      </c>
      <c r="AF31" s="416"/>
      <c r="AG31" s="416"/>
      <c r="AH31" s="414">
        <f t="shared" si="7"/>
        <v>76.400000000000006</v>
      </c>
      <c r="AI31" s="413">
        <f>'REKAP RAPOR'!M28</f>
        <v>79.599999999999994</v>
      </c>
      <c r="AJ31" s="416"/>
      <c r="AK31" s="416"/>
      <c r="AL31" s="414">
        <f t="shared" si="8"/>
        <v>79.599999999999994</v>
      </c>
      <c r="AM31" s="413">
        <f>'REKAP RAPOR'!N28</f>
        <v>74.8</v>
      </c>
      <c r="AN31" s="416"/>
      <c r="AO31" s="416"/>
      <c r="AP31" s="414">
        <f t="shared" si="9"/>
        <v>74.8</v>
      </c>
      <c r="AQ31" s="413" t="str">
        <f>'REKAP RAPOR'!O28</f>
        <v/>
      </c>
      <c r="AR31" s="416"/>
      <c r="AS31" s="416"/>
      <c r="AT31" s="414" t="str">
        <f t="shared" si="10"/>
        <v/>
      </c>
      <c r="AU31" s="413" t="str">
        <f>'REKAP RAPOR'!P28</f>
        <v/>
      </c>
      <c r="AV31" s="416"/>
      <c r="AW31" s="416"/>
      <c r="AX31" s="417" t="str">
        <f t="shared" si="11"/>
        <v/>
      </c>
      <c r="AY31" s="418">
        <f t="shared" si="12"/>
        <v>708.55</v>
      </c>
      <c r="AZ31" s="396">
        <f t="shared" si="13"/>
        <v>77.888636363636365</v>
      </c>
      <c r="BB31" s="35" t="str">
        <f t="shared" si="0"/>
        <v>Kosong</v>
      </c>
    </row>
    <row r="32" spans="2:54">
      <c r="B32" s="7">
        <v>22</v>
      </c>
      <c r="C32" s="7" t="str">
        <f>'Data Siswa'!C25&amp;""</f>
        <v/>
      </c>
      <c r="D32" s="25" t="str">
        <f>'Data Siswa'!E25&amp;""</f>
        <v/>
      </c>
      <c r="E32" s="11" t="str">
        <f>'Data Siswa'!F25&amp;""</f>
        <v/>
      </c>
      <c r="F32" s="434"/>
      <c r="G32" s="413" t="str">
        <f>'REKAP RAPOR'!F29</f>
        <v/>
      </c>
      <c r="H32" s="416"/>
      <c r="I32" s="416"/>
      <c r="J32" s="414" t="str">
        <f t="shared" si="1"/>
        <v/>
      </c>
      <c r="K32" s="413" t="str">
        <f>'REKAP RAPOR'!G29</f>
        <v/>
      </c>
      <c r="L32" s="416"/>
      <c r="M32" s="416"/>
      <c r="N32" s="414" t="str">
        <f t="shared" si="2"/>
        <v/>
      </c>
      <c r="O32" s="413" t="str">
        <f>'REKAP RAPOR'!H29</f>
        <v/>
      </c>
      <c r="P32" s="416"/>
      <c r="Q32" s="416"/>
      <c r="R32" s="414" t="str">
        <f t="shared" si="3"/>
        <v/>
      </c>
      <c r="S32" s="413" t="str">
        <f>'REKAP RAPOR'!I29</f>
        <v/>
      </c>
      <c r="T32" s="416"/>
      <c r="U32" s="416"/>
      <c r="V32" s="414" t="str">
        <f t="shared" si="4"/>
        <v/>
      </c>
      <c r="W32" s="413" t="str">
        <f>'REKAP RAPOR'!J29</f>
        <v/>
      </c>
      <c r="X32" s="416"/>
      <c r="Y32" s="416"/>
      <c r="Z32" s="414" t="str">
        <f t="shared" si="5"/>
        <v/>
      </c>
      <c r="AA32" s="413" t="str">
        <f>'REKAP RAPOR'!K29</f>
        <v/>
      </c>
      <c r="AB32" s="416"/>
      <c r="AC32" s="416"/>
      <c r="AD32" s="414" t="str">
        <f t="shared" si="6"/>
        <v/>
      </c>
      <c r="AE32" s="413" t="str">
        <f>'REKAP RAPOR'!L29</f>
        <v/>
      </c>
      <c r="AF32" s="416"/>
      <c r="AG32" s="416"/>
      <c r="AH32" s="414" t="str">
        <f t="shared" si="7"/>
        <v/>
      </c>
      <c r="AI32" s="413" t="str">
        <f>'REKAP RAPOR'!M29</f>
        <v/>
      </c>
      <c r="AJ32" s="416"/>
      <c r="AK32" s="416"/>
      <c r="AL32" s="414" t="str">
        <f t="shared" si="8"/>
        <v/>
      </c>
      <c r="AM32" s="413" t="str">
        <f>'REKAP RAPOR'!N29</f>
        <v/>
      </c>
      <c r="AN32" s="416"/>
      <c r="AO32" s="416"/>
      <c r="AP32" s="414" t="str">
        <f t="shared" si="9"/>
        <v/>
      </c>
      <c r="AQ32" s="413" t="str">
        <f>'REKAP RAPOR'!O29</f>
        <v/>
      </c>
      <c r="AR32" s="416"/>
      <c r="AS32" s="416"/>
      <c r="AT32" s="414" t="str">
        <f t="shared" si="10"/>
        <v/>
      </c>
      <c r="AU32" s="413" t="str">
        <f>'REKAP RAPOR'!P29</f>
        <v/>
      </c>
      <c r="AV32" s="416"/>
      <c r="AW32" s="416"/>
      <c r="AX32" s="417" t="str">
        <f t="shared" si="11"/>
        <v/>
      </c>
      <c r="AY32" s="418" t="str">
        <f t="shared" si="12"/>
        <v/>
      </c>
      <c r="AZ32" s="396" t="str">
        <f t="shared" si="13"/>
        <v/>
      </c>
      <c r="BB32" s="35" t="str">
        <f t="shared" si="0"/>
        <v>Kosong</v>
      </c>
    </row>
    <row r="33" spans="2:54">
      <c r="B33" s="7">
        <v>23</v>
      </c>
      <c r="C33" s="7" t="str">
        <f>'Data Siswa'!C26&amp;""</f>
        <v/>
      </c>
      <c r="D33" s="25" t="str">
        <f>'Data Siswa'!E26&amp;""</f>
        <v/>
      </c>
      <c r="E33" s="11" t="str">
        <f>'Data Siswa'!F26&amp;""</f>
        <v/>
      </c>
      <c r="F33" s="434"/>
      <c r="G33" s="413" t="str">
        <f>'REKAP RAPOR'!F30</f>
        <v/>
      </c>
      <c r="H33" s="416"/>
      <c r="I33" s="416"/>
      <c r="J33" s="414" t="str">
        <f t="shared" si="1"/>
        <v/>
      </c>
      <c r="K33" s="413" t="str">
        <f>'REKAP RAPOR'!G30</f>
        <v/>
      </c>
      <c r="L33" s="416"/>
      <c r="M33" s="416"/>
      <c r="N33" s="414" t="str">
        <f t="shared" si="2"/>
        <v/>
      </c>
      <c r="O33" s="413" t="str">
        <f>'REKAP RAPOR'!H30</f>
        <v/>
      </c>
      <c r="P33" s="416"/>
      <c r="Q33" s="416"/>
      <c r="R33" s="414" t="str">
        <f t="shared" si="3"/>
        <v/>
      </c>
      <c r="S33" s="413" t="str">
        <f>'REKAP RAPOR'!I30</f>
        <v/>
      </c>
      <c r="T33" s="416"/>
      <c r="U33" s="416"/>
      <c r="V33" s="414" t="str">
        <f t="shared" si="4"/>
        <v/>
      </c>
      <c r="W33" s="413" t="str">
        <f>'REKAP RAPOR'!J30</f>
        <v/>
      </c>
      <c r="X33" s="416"/>
      <c r="Y33" s="416"/>
      <c r="Z33" s="414" t="str">
        <f t="shared" si="5"/>
        <v/>
      </c>
      <c r="AA33" s="413" t="str">
        <f>'REKAP RAPOR'!K30</f>
        <v/>
      </c>
      <c r="AB33" s="416"/>
      <c r="AC33" s="416"/>
      <c r="AD33" s="414" t="str">
        <f t="shared" si="6"/>
        <v/>
      </c>
      <c r="AE33" s="413" t="str">
        <f>'REKAP RAPOR'!L30</f>
        <v/>
      </c>
      <c r="AF33" s="416"/>
      <c r="AG33" s="416"/>
      <c r="AH33" s="414" t="str">
        <f t="shared" si="7"/>
        <v/>
      </c>
      <c r="AI33" s="413" t="str">
        <f>'REKAP RAPOR'!M30</f>
        <v/>
      </c>
      <c r="AJ33" s="416"/>
      <c r="AK33" s="416"/>
      <c r="AL33" s="414" t="str">
        <f t="shared" si="8"/>
        <v/>
      </c>
      <c r="AM33" s="413" t="str">
        <f>'REKAP RAPOR'!N30</f>
        <v/>
      </c>
      <c r="AN33" s="416"/>
      <c r="AO33" s="416"/>
      <c r="AP33" s="414" t="str">
        <f t="shared" si="9"/>
        <v/>
      </c>
      <c r="AQ33" s="413" t="str">
        <f>'REKAP RAPOR'!O30</f>
        <v/>
      </c>
      <c r="AR33" s="416"/>
      <c r="AS33" s="416"/>
      <c r="AT33" s="414" t="str">
        <f t="shared" si="10"/>
        <v/>
      </c>
      <c r="AU33" s="413" t="str">
        <f>'REKAP RAPOR'!P30</f>
        <v/>
      </c>
      <c r="AV33" s="416"/>
      <c r="AW33" s="416"/>
      <c r="AX33" s="417" t="str">
        <f t="shared" si="11"/>
        <v/>
      </c>
      <c r="AY33" s="418" t="str">
        <f t="shared" si="12"/>
        <v/>
      </c>
      <c r="AZ33" s="396" t="str">
        <f t="shared" si="13"/>
        <v/>
      </c>
      <c r="BB33" s="35" t="str">
        <f t="shared" si="0"/>
        <v>Kosong</v>
      </c>
    </row>
    <row r="34" spans="2:54">
      <c r="B34" s="7">
        <v>24</v>
      </c>
      <c r="C34" s="7" t="str">
        <f>'Data Siswa'!C27&amp;""</f>
        <v/>
      </c>
      <c r="D34" s="25" t="str">
        <f>'Data Siswa'!E27&amp;""</f>
        <v/>
      </c>
      <c r="E34" s="11" t="str">
        <f>'Data Siswa'!F27&amp;""</f>
        <v/>
      </c>
      <c r="F34" s="434"/>
      <c r="G34" s="413" t="str">
        <f>'REKAP RAPOR'!F31</f>
        <v/>
      </c>
      <c r="H34" s="416"/>
      <c r="I34" s="416"/>
      <c r="J34" s="414" t="str">
        <f t="shared" si="1"/>
        <v/>
      </c>
      <c r="K34" s="413" t="str">
        <f>'REKAP RAPOR'!G31</f>
        <v/>
      </c>
      <c r="L34" s="416"/>
      <c r="M34" s="416"/>
      <c r="N34" s="414" t="str">
        <f t="shared" si="2"/>
        <v/>
      </c>
      <c r="O34" s="413" t="str">
        <f>'REKAP RAPOR'!H31</f>
        <v/>
      </c>
      <c r="P34" s="416"/>
      <c r="Q34" s="416"/>
      <c r="R34" s="414" t="str">
        <f t="shared" si="3"/>
        <v/>
      </c>
      <c r="S34" s="413" t="str">
        <f>'REKAP RAPOR'!I31</f>
        <v/>
      </c>
      <c r="T34" s="416"/>
      <c r="U34" s="416"/>
      <c r="V34" s="414" t="str">
        <f t="shared" si="4"/>
        <v/>
      </c>
      <c r="W34" s="413" t="str">
        <f>'REKAP RAPOR'!J31</f>
        <v/>
      </c>
      <c r="X34" s="416"/>
      <c r="Y34" s="416"/>
      <c r="Z34" s="414" t="str">
        <f t="shared" si="5"/>
        <v/>
      </c>
      <c r="AA34" s="413" t="str">
        <f>'REKAP RAPOR'!K31</f>
        <v/>
      </c>
      <c r="AB34" s="416"/>
      <c r="AC34" s="416"/>
      <c r="AD34" s="414" t="str">
        <f t="shared" si="6"/>
        <v/>
      </c>
      <c r="AE34" s="413" t="str">
        <f>'REKAP RAPOR'!L31</f>
        <v/>
      </c>
      <c r="AF34" s="416"/>
      <c r="AG34" s="416"/>
      <c r="AH34" s="414" t="str">
        <f t="shared" si="7"/>
        <v/>
      </c>
      <c r="AI34" s="413" t="str">
        <f>'REKAP RAPOR'!M31</f>
        <v/>
      </c>
      <c r="AJ34" s="416"/>
      <c r="AK34" s="416"/>
      <c r="AL34" s="414" t="str">
        <f t="shared" si="8"/>
        <v/>
      </c>
      <c r="AM34" s="413" t="str">
        <f>'REKAP RAPOR'!N31</f>
        <v/>
      </c>
      <c r="AN34" s="416"/>
      <c r="AO34" s="416"/>
      <c r="AP34" s="414" t="str">
        <f t="shared" si="9"/>
        <v/>
      </c>
      <c r="AQ34" s="413" t="str">
        <f>'REKAP RAPOR'!O31</f>
        <v/>
      </c>
      <c r="AR34" s="416"/>
      <c r="AS34" s="416"/>
      <c r="AT34" s="414" t="str">
        <f t="shared" si="10"/>
        <v/>
      </c>
      <c r="AU34" s="413" t="str">
        <f>'REKAP RAPOR'!P31</f>
        <v/>
      </c>
      <c r="AV34" s="416"/>
      <c r="AW34" s="416"/>
      <c r="AX34" s="417" t="str">
        <f t="shared" si="11"/>
        <v/>
      </c>
      <c r="AY34" s="418" t="str">
        <f t="shared" si="12"/>
        <v/>
      </c>
      <c r="AZ34" s="396" t="str">
        <f t="shared" si="13"/>
        <v/>
      </c>
      <c r="BB34" s="35" t="str">
        <f t="shared" si="0"/>
        <v>Kosong</v>
      </c>
    </row>
    <row r="35" spans="2:54">
      <c r="B35" s="7">
        <v>25</v>
      </c>
      <c r="C35" s="7" t="str">
        <f>'Data Siswa'!C28&amp;""</f>
        <v/>
      </c>
      <c r="D35" s="25" t="str">
        <f>'Data Siswa'!E28&amp;""</f>
        <v/>
      </c>
      <c r="E35" s="11" t="str">
        <f>'Data Siswa'!F28&amp;""</f>
        <v/>
      </c>
      <c r="F35" s="434"/>
      <c r="G35" s="413" t="str">
        <f>'REKAP RAPOR'!F32</f>
        <v/>
      </c>
      <c r="H35" s="416"/>
      <c r="I35" s="416"/>
      <c r="J35" s="414" t="str">
        <f t="shared" si="1"/>
        <v/>
      </c>
      <c r="K35" s="413" t="str">
        <f>'REKAP RAPOR'!G32</f>
        <v/>
      </c>
      <c r="L35" s="416"/>
      <c r="M35" s="416"/>
      <c r="N35" s="414" t="str">
        <f t="shared" si="2"/>
        <v/>
      </c>
      <c r="O35" s="413" t="str">
        <f>'REKAP RAPOR'!H32</f>
        <v/>
      </c>
      <c r="P35" s="416"/>
      <c r="Q35" s="416"/>
      <c r="R35" s="414" t="str">
        <f t="shared" si="3"/>
        <v/>
      </c>
      <c r="S35" s="413" t="str">
        <f>'REKAP RAPOR'!I32</f>
        <v/>
      </c>
      <c r="T35" s="416"/>
      <c r="U35" s="416"/>
      <c r="V35" s="414" t="str">
        <f t="shared" si="4"/>
        <v/>
      </c>
      <c r="W35" s="413" t="str">
        <f>'REKAP RAPOR'!J32</f>
        <v/>
      </c>
      <c r="X35" s="416"/>
      <c r="Y35" s="416"/>
      <c r="Z35" s="414" t="str">
        <f t="shared" si="5"/>
        <v/>
      </c>
      <c r="AA35" s="413" t="str">
        <f>'REKAP RAPOR'!K32</f>
        <v/>
      </c>
      <c r="AB35" s="416"/>
      <c r="AC35" s="416"/>
      <c r="AD35" s="414" t="str">
        <f t="shared" si="6"/>
        <v/>
      </c>
      <c r="AE35" s="413" t="str">
        <f>'REKAP RAPOR'!L32</f>
        <v/>
      </c>
      <c r="AF35" s="416"/>
      <c r="AG35" s="416"/>
      <c r="AH35" s="414" t="str">
        <f t="shared" si="7"/>
        <v/>
      </c>
      <c r="AI35" s="413" t="str">
        <f>'REKAP RAPOR'!M32</f>
        <v/>
      </c>
      <c r="AJ35" s="416"/>
      <c r="AK35" s="416"/>
      <c r="AL35" s="414" t="str">
        <f t="shared" si="8"/>
        <v/>
      </c>
      <c r="AM35" s="413" t="str">
        <f>'REKAP RAPOR'!N32</f>
        <v/>
      </c>
      <c r="AN35" s="416"/>
      <c r="AO35" s="416"/>
      <c r="AP35" s="414" t="str">
        <f t="shared" si="9"/>
        <v/>
      </c>
      <c r="AQ35" s="413" t="str">
        <f>'REKAP RAPOR'!O32</f>
        <v/>
      </c>
      <c r="AR35" s="416"/>
      <c r="AS35" s="416"/>
      <c r="AT35" s="414" t="str">
        <f t="shared" si="10"/>
        <v/>
      </c>
      <c r="AU35" s="413" t="str">
        <f>'REKAP RAPOR'!P32</f>
        <v/>
      </c>
      <c r="AV35" s="416"/>
      <c r="AW35" s="416"/>
      <c r="AX35" s="417" t="str">
        <f t="shared" si="11"/>
        <v/>
      </c>
      <c r="AY35" s="418" t="str">
        <f t="shared" si="12"/>
        <v/>
      </c>
      <c r="AZ35" s="396" t="str">
        <f t="shared" si="13"/>
        <v/>
      </c>
      <c r="BB35" s="35" t="str">
        <f t="shared" si="0"/>
        <v>Kosong</v>
      </c>
    </row>
    <row r="36" spans="2:54">
      <c r="B36" s="7">
        <v>26</v>
      </c>
      <c r="C36" s="7" t="str">
        <f>'Data Siswa'!C29&amp;""</f>
        <v/>
      </c>
      <c r="D36" s="25" t="str">
        <f>'Data Siswa'!E29&amp;""</f>
        <v/>
      </c>
      <c r="E36" s="11" t="str">
        <f>'Data Siswa'!F29&amp;""</f>
        <v/>
      </c>
      <c r="F36" s="434"/>
      <c r="G36" s="413" t="str">
        <f>'REKAP RAPOR'!F33</f>
        <v/>
      </c>
      <c r="H36" s="416"/>
      <c r="I36" s="416"/>
      <c r="J36" s="414" t="str">
        <f t="shared" si="1"/>
        <v/>
      </c>
      <c r="K36" s="413" t="str">
        <f>'REKAP RAPOR'!G33</f>
        <v/>
      </c>
      <c r="L36" s="416"/>
      <c r="M36" s="416"/>
      <c r="N36" s="414" t="str">
        <f t="shared" si="2"/>
        <v/>
      </c>
      <c r="O36" s="413" t="str">
        <f>'REKAP RAPOR'!H33</f>
        <v/>
      </c>
      <c r="P36" s="416"/>
      <c r="Q36" s="416"/>
      <c r="R36" s="414" t="str">
        <f t="shared" si="3"/>
        <v/>
      </c>
      <c r="S36" s="413" t="str">
        <f>'REKAP RAPOR'!I33</f>
        <v/>
      </c>
      <c r="T36" s="416"/>
      <c r="U36" s="416"/>
      <c r="V36" s="414" t="str">
        <f t="shared" si="4"/>
        <v/>
      </c>
      <c r="W36" s="413" t="str">
        <f>'REKAP RAPOR'!J33</f>
        <v/>
      </c>
      <c r="X36" s="416"/>
      <c r="Y36" s="416"/>
      <c r="Z36" s="414" t="str">
        <f t="shared" si="5"/>
        <v/>
      </c>
      <c r="AA36" s="413" t="str">
        <f>'REKAP RAPOR'!K33</f>
        <v/>
      </c>
      <c r="AB36" s="416"/>
      <c r="AC36" s="416"/>
      <c r="AD36" s="414" t="str">
        <f t="shared" si="6"/>
        <v/>
      </c>
      <c r="AE36" s="413" t="str">
        <f>'REKAP RAPOR'!L33</f>
        <v/>
      </c>
      <c r="AF36" s="416"/>
      <c r="AG36" s="416"/>
      <c r="AH36" s="414" t="str">
        <f t="shared" si="7"/>
        <v/>
      </c>
      <c r="AI36" s="413" t="str">
        <f>'REKAP RAPOR'!M33</f>
        <v/>
      </c>
      <c r="AJ36" s="416"/>
      <c r="AK36" s="416"/>
      <c r="AL36" s="414" t="str">
        <f t="shared" si="8"/>
        <v/>
      </c>
      <c r="AM36" s="413" t="str">
        <f>'REKAP RAPOR'!N33</f>
        <v/>
      </c>
      <c r="AN36" s="416"/>
      <c r="AO36" s="416"/>
      <c r="AP36" s="414" t="str">
        <f t="shared" si="9"/>
        <v/>
      </c>
      <c r="AQ36" s="413" t="str">
        <f>'REKAP RAPOR'!O33</f>
        <v/>
      </c>
      <c r="AR36" s="416"/>
      <c r="AS36" s="416"/>
      <c r="AT36" s="414" t="str">
        <f t="shared" si="10"/>
        <v/>
      </c>
      <c r="AU36" s="413" t="str">
        <f>'REKAP RAPOR'!P33</f>
        <v/>
      </c>
      <c r="AV36" s="416"/>
      <c r="AW36" s="416"/>
      <c r="AX36" s="417" t="str">
        <f t="shared" si="11"/>
        <v/>
      </c>
      <c r="AY36" s="418" t="str">
        <f t="shared" si="12"/>
        <v/>
      </c>
      <c r="AZ36" s="396" t="str">
        <f t="shared" si="13"/>
        <v/>
      </c>
      <c r="BB36" s="35" t="str">
        <f t="shared" si="0"/>
        <v>Kosong</v>
      </c>
    </row>
    <row r="37" spans="2:54">
      <c r="B37" s="7">
        <v>27</v>
      </c>
      <c r="C37" s="7" t="str">
        <f>'Data Siswa'!C30&amp;""</f>
        <v/>
      </c>
      <c r="D37" s="25" t="str">
        <f>'Data Siswa'!E30&amp;""</f>
        <v/>
      </c>
      <c r="E37" s="11" t="str">
        <f>'Data Siswa'!F30&amp;""</f>
        <v/>
      </c>
      <c r="F37" s="434"/>
      <c r="G37" s="413" t="str">
        <f>'REKAP RAPOR'!F34</f>
        <v/>
      </c>
      <c r="H37" s="416"/>
      <c r="I37" s="416"/>
      <c r="J37" s="414" t="str">
        <f t="shared" si="1"/>
        <v/>
      </c>
      <c r="K37" s="413" t="str">
        <f>'REKAP RAPOR'!G34</f>
        <v/>
      </c>
      <c r="L37" s="416"/>
      <c r="M37" s="416"/>
      <c r="N37" s="414" t="str">
        <f t="shared" si="2"/>
        <v/>
      </c>
      <c r="O37" s="413" t="str">
        <f>'REKAP RAPOR'!H34</f>
        <v/>
      </c>
      <c r="P37" s="416"/>
      <c r="Q37" s="416"/>
      <c r="R37" s="414" t="str">
        <f t="shared" si="3"/>
        <v/>
      </c>
      <c r="S37" s="413" t="str">
        <f>'REKAP RAPOR'!I34</f>
        <v/>
      </c>
      <c r="T37" s="416"/>
      <c r="U37" s="416"/>
      <c r="V37" s="414" t="str">
        <f t="shared" si="4"/>
        <v/>
      </c>
      <c r="W37" s="413" t="str">
        <f>'REKAP RAPOR'!J34</f>
        <v/>
      </c>
      <c r="X37" s="416"/>
      <c r="Y37" s="416"/>
      <c r="Z37" s="414" t="str">
        <f t="shared" si="5"/>
        <v/>
      </c>
      <c r="AA37" s="413" t="str">
        <f>'REKAP RAPOR'!K34</f>
        <v/>
      </c>
      <c r="AB37" s="416"/>
      <c r="AC37" s="416"/>
      <c r="AD37" s="414" t="str">
        <f t="shared" si="6"/>
        <v/>
      </c>
      <c r="AE37" s="413" t="str">
        <f>'REKAP RAPOR'!L34</f>
        <v/>
      </c>
      <c r="AF37" s="416"/>
      <c r="AG37" s="416"/>
      <c r="AH37" s="414" t="str">
        <f t="shared" si="7"/>
        <v/>
      </c>
      <c r="AI37" s="413" t="str">
        <f>'REKAP RAPOR'!M34</f>
        <v/>
      </c>
      <c r="AJ37" s="416"/>
      <c r="AK37" s="416"/>
      <c r="AL37" s="414" t="str">
        <f t="shared" si="8"/>
        <v/>
      </c>
      <c r="AM37" s="413" t="str">
        <f>'REKAP RAPOR'!N34</f>
        <v/>
      </c>
      <c r="AN37" s="416"/>
      <c r="AO37" s="416"/>
      <c r="AP37" s="414" t="str">
        <f t="shared" si="9"/>
        <v/>
      </c>
      <c r="AQ37" s="413" t="str">
        <f>'REKAP RAPOR'!O34</f>
        <v/>
      </c>
      <c r="AR37" s="416"/>
      <c r="AS37" s="416"/>
      <c r="AT37" s="414" t="str">
        <f t="shared" si="10"/>
        <v/>
      </c>
      <c r="AU37" s="413" t="str">
        <f>'REKAP RAPOR'!P34</f>
        <v/>
      </c>
      <c r="AV37" s="416"/>
      <c r="AW37" s="416"/>
      <c r="AX37" s="417" t="str">
        <f t="shared" si="11"/>
        <v/>
      </c>
      <c r="AY37" s="418" t="str">
        <f t="shared" si="12"/>
        <v/>
      </c>
      <c r="AZ37" s="396" t="str">
        <f t="shared" si="13"/>
        <v/>
      </c>
      <c r="BB37" s="35" t="str">
        <f t="shared" si="0"/>
        <v>Kosong</v>
      </c>
    </row>
    <row r="38" spans="2:54">
      <c r="B38" s="7">
        <v>28</v>
      </c>
      <c r="C38" s="7" t="str">
        <f>'Data Siswa'!C31&amp;""</f>
        <v/>
      </c>
      <c r="D38" s="25" t="str">
        <f>'Data Siswa'!E31&amp;""</f>
        <v/>
      </c>
      <c r="E38" s="11" t="str">
        <f>'Data Siswa'!F31&amp;""</f>
        <v/>
      </c>
      <c r="F38" s="434"/>
      <c r="G38" s="413" t="str">
        <f>'REKAP RAPOR'!F35</f>
        <v/>
      </c>
      <c r="H38" s="416"/>
      <c r="I38" s="416"/>
      <c r="J38" s="414" t="str">
        <f t="shared" si="1"/>
        <v/>
      </c>
      <c r="K38" s="413" t="str">
        <f>'REKAP RAPOR'!G35</f>
        <v/>
      </c>
      <c r="L38" s="416"/>
      <c r="M38" s="416"/>
      <c r="N38" s="414" t="str">
        <f t="shared" si="2"/>
        <v/>
      </c>
      <c r="O38" s="413" t="str">
        <f>'REKAP RAPOR'!H35</f>
        <v/>
      </c>
      <c r="P38" s="416"/>
      <c r="Q38" s="416"/>
      <c r="R38" s="414" t="str">
        <f t="shared" si="3"/>
        <v/>
      </c>
      <c r="S38" s="413" t="str">
        <f>'REKAP RAPOR'!I35</f>
        <v/>
      </c>
      <c r="T38" s="416"/>
      <c r="U38" s="416"/>
      <c r="V38" s="414" t="str">
        <f t="shared" si="4"/>
        <v/>
      </c>
      <c r="W38" s="413" t="str">
        <f>'REKAP RAPOR'!J35</f>
        <v/>
      </c>
      <c r="X38" s="416"/>
      <c r="Y38" s="416"/>
      <c r="Z38" s="414" t="str">
        <f t="shared" si="5"/>
        <v/>
      </c>
      <c r="AA38" s="413" t="str">
        <f>'REKAP RAPOR'!K35</f>
        <v/>
      </c>
      <c r="AB38" s="416"/>
      <c r="AC38" s="416"/>
      <c r="AD38" s="414" t="str">
        <f t="shared" si="6"/>
        <v/>
      </c>
      <c r="AE38" s="413" t="str">
        <f>'REKAP RAPOR'!L35</f>
        <v/>
      </c>
      <c r="AF38" s="416"/>
      <c r="AG38" s="416"/>
      <c r="AH38" s="414" t="str">
        <f t="shared" si="7"/>
        <v/>
      </c>
      <c r="AI38" s="413" t="str">
        <f>'REKAP RAPOR'!M35</f>
        <v/>
      </c>
      <c r="AJ38" s="416"/>
      <c r="AK38" s="416"/>
      <c r="AL38" s="414" t="str">
        <f t="shared" si="8"/>
        <v/>
      </c>
      <c r="AM38" s="413" t="str">
        <f>'REKAP RAPOR'!N35</f>
        <v/>
      </c>
      <c r="AN38" s="416"/>
      <c r="AO38" s="416"/>
      <c r="AP38" s="414" t="str">
        <f t="shared" si="9"/>
        <v/>
      </c>
      <c r="AQ38" s="413" t="str">
        <f>'REKAP RAPOR'!O35</f>
        <v/>
      </c>
      <c r="AR38" s="416"/>
      <c r="AS38" s="416"/>
      <c r="AT38" s="414" t="str">
        <f t="shared" si="10"/>
        <v/>
      </c>
      <c r="AU38" s="413" t="str">
        <f>'REKAP RAPOR'!P35</f>
        <v/>
      </c>
      <c r="AV38" s="416"/>
      <c r="AW38" s="416"/>
      <c r="AX38" s="417" t="str">
        <f t="shared" si="11"/>
        <v/>
      </c>
      <c r="AY38" s="418" t="str">
        <f t="shared" si="12"/>
        <v/>
      </c>
      <c r="AZ38" s="396" t="str">
        <f t="shared" si="13"/>
        <v/>
      </c>
      <c r="BB38" s="35" t="str">
        <f t="shared" si="0"/>
        <v>Kosong</v>
      </c>
    </row>
    <row r="39" spans="2:54">
      <c r="B39" s="7">
        <v>29</v>
      </c>
      <c r="C39" s="7" t="str">
        <f>'Data Siswa'!C32&amp;""</f>
        <v/>
      </c>
      <c r="D39" s="25" t="str">
        <f>'Data Siswa'!E32&amp;""</f>
        <v/>
      </c>
      <c r="E39" s="11" t="str">
        <f>'Data Siswa'!F32&amp;""</f>
        <v/>
      </c>
      <c r="F39" s="434"/>
      <c r="G39" s="413" t="str">
        <f>'REKAP RAPOR'!F36</f>
        <v/>
      </c>
      <c r="H39" s="416"/>
      <c r="I39" s="416"/>
      <c r="J39" s="414" t="str">
        <f t="shared" si="1"/>
        <v/>
      </c>
      <c r="K39" s="413" t="str">
        <f>'REKAP RAPOR'!G36</f>
        <v/>
      </c>
      <c r="L39" s="416"/>
      <c r="M39" s="416"/>
      <c r="N39" s="414" t="str">
        <f t="shared" si="2"/>
        <v/>
      </c>
      <c r="O39" s="413" t="str">
        <f>'REKAP RAPOR'!H36</f>
        <v/>
      </c>
      <c r="P39" s="416"/>
      <c r="Q39" s="416"/>
      <c r="R39" s="414" t="str">
        <f t="shared" si="3"/>
        <v/>
      </c>
      <c r="S39" s="413" t="str">
        <f>'REKAP RAPOR'!I36</f>
        <v/>
      </c>
      <c r="T39" s="416"/>
      <c r="U39" s="416"/>
      <c r="V39" s="414" t="str">
        <f t="shared" si="4"/>
        <v/>
      </c>
      <c r="W39" s="413" t="str">
        <f>'REKAP RAPOR'!J36</f>
        <v/>
      </c>
      <c r="X39" s="416"/>
      <c r="Y39" s="416"/>
      <c r="Z39" s="414" t="str">
        <f t="shared" si="5"/>
        <v/>
      </c>
      <c r="AA39" s="413" t="str">
        <f>'REKAP RAPOR'!K36</f>
        <v/>
      </c>
      <c r="AB39" s="416"/>
      <c r="AC39" s="416"/>
      <c r="AD39" s="414" t="str">
        <f t="shared" si="6"/>
        <v/>
      </c>
      <c r="AE39" s="413" t="str">
        <f>'REKAP RAPOR'!L36</f>
        <v/>
      </c>
      <c r="AF39" s="416"/>
      <c r="AG39" s="416"/>
      <c r="AH39" s="414" t="str">
        <f t="shared" si="7"/>
        <v/>
      </c>
      <c r="AI39" s="413" t="str">
        <f>'REKAP RAPOR'!M36</f>
        <v/>
      </c>
      <c r="AJ39" s="416"/>
      <c r="AK39" s="416"/>
      <c r="AL39" s="414" t="str">
        <f t="shared" si="8"/>
        <v/>
      </c>
      <c r="AM39" s="413" t="str">
        <f>'REKAP RAPOR'!N36</f>
        <v/>
      </c>
      <c r="AN39" s="416"/>
      <c r="AO39" s="416"/>
      <c r="AP39" s="414" t="str">
        <f t="shared" si="9"/>
        <v/>
      </c>
      <c r="AQ39" s="413" t="str">
        <f>'REKAP RAPOR'!O36</f>
        <v/>
      </c>
      <c r="AR39" s="416"/>
      <c r="AS39" s="416"/>
      <c r="AT39" s="414" t="str">
        <f t="shared" si="10"/>
        <v/>
      </c>
      <c r="AU39" s="413" t="str">
        <f>'REKAP RAPOR'!P36</f>
        <v/>
      </c>
      <c r="AV39" s="416"/>
      <c r="AW39" s="416"/>
      <c r="AX39" s="417" t="str">
        <f t="shared" si="11"/>
        <v/>
      </c>
      <c r="AY39" s="418" t="str">
        <f t="shared" si="12"/>
        <v/>
      </c>
      <c r="AZ39" s="396" t="str">
        <f t="shared" si="13"/>
        <v/>
      </c>
      <c r="BB39" s="35" t="str">
        <f t="shared" si="0"/>
        <v>Kosong</v>
      </c>
    </row>
    <row r="40" spans="2:54">
      <c r="B40" s="7">
        <v>30</v>
      </c>
      <c r="C40" s="7" t="str">
        <f>'Data Siswa'!C33&amp;""</f>
        <v/>
      </c>
      <c r="D40" s="25" t="str">
        <f>'Data Siswa'!E33&amp;""</f>
        <v/>
      </c>
      <c r="E40" s="11" t="str">
        <f>'Data Siswa'!F33&amp;""</f>
        <v/>
      </c>
      <c r="F40" s="434"/>
      <c r="G40" s="413" t="str">
        <f>'REKAP RAPOR'!F37</f>
        <v/>
      </c>
      <c r="H40" s="416"/>
      <c r="I40" s="416"/>
      <c r="J40" s="414" t="str">
        <f t="shared" si="1"/>
        <v/>
      </c>
      <c r="K40" s="413" t="str">
        <f>'REKAP RAPOR'!G37</f>
        <v/>
      </c>
      <c r="L40" s="416"/>
      <c r="M40" s="416"/>
      <c r="N40" s="414" t="str">
        <f t="shared" si="2"/>
        <v/>
      </c>
      <c r="O40" s="413" t="str">
        <f>'REKAP RAPOR'!H37</f>
        <v/>
      </c>
      <c r="P40" s="416"/>
      <c r="Q40" s="416"/>
      <c r="R40" s="414" t="str">
        <f t="shared" si="3"/>
        <v/>
      </c>
      <c r="S40" s="413" t="str">
        <f>'REKAP RAPOR'!I37</f>
        <v/>
      </c>
      <c r="T40" s="416"/>
      <c r="U40" s="416"/>
      <c r="V40" s="414" t="str">
        <f t="shared" si="4"/>
        <v/>
      </c>
      <c r="W40" s="413" t="str">
        <f>'REKAP RAPOR'!J37</f>
        <v/>
      </c>
      <c r="X40" s="416"/>
      <c r="Y40" s="416"/>
      <c r="Z40" s="414" t="str">
        <f t="shared" si="5"/>
        <v/>
      </c>
      <c r="AA40" s="413" t="str">
        <f>'REKAP RAPOR'!K37</f>
        <v/>
      </c>
      <c r="AB40" s="416"/>
      <c r="AC40" s="416"/>
      <c r="AD40" s="414" t="str">
        <f t="shared" si="6"/>
        <v/>
      </c>
      <c r="AE40" s="413" t="str">
        <f>'REKAP RAPOR'!L37</f>
        <v/>
      </c>
      <c r="AF40" s="416"/>
      <c r="AG40" s="416"/>
      <c r="AH40" s="414" t="str">
        <f t="shared" si="7"/>
        <v/>
      </c>
      <c r="AI40" s="413" t="str">
        <f>'REKAP RAPOR'!M37</f>
        <v/>
      </c>
      <c r="AJ40" s="416"/>
      <c r="AK40" s="416"/>
      <c r="AL40" s="414" t="str">
        <f t="shared" si="8"/>
        <v/>
      </c>
      <c r="AM40" s="413" t="str">
        <f>'REKAP RAPOR'!N37</f>
        <v/>
      </c>
      <c r="AN40" s="416"/>
      <c r="AO40" s="416"/>
      <c r="AP40" s="414" t="str">
        <f t="shared" si="9"/>
        <v/>
      </c>
      <c r="AQ40" s="413" t="str">
        <f>'REKAP RAPOR'!O37</f>
        <v/>
      </c>
      <c r="AR40" s="416"/>
      <c r="AS40" s="416"/>
      <c r="AT40" s="414" t="str">
        <f t="shared" si="10"/>
        <v/>
      </c>
      <c r="AU40" s="413" t="str">
        <f>'REKAP RAPOR'!P37</f>
        <v/>
      </c>
      <c r="AV40" s="416"/>
      <c r="AW40" s="416"/>
      <c r="AX40" s="417" t="str">
        <f t="shared" si="11"/>
        <v/>
      </c>
      <c r="AY40" s="418" t="str">
        <f t="shared" si="12"/>
        <v/>
      </c>
      <c r="AZ40" s="396" t="str">
        <f t="shared" si="13"/>
        <v/>
      </c>
      <c r="BB40" s="35" t="str">
        <f t="shared" si="0"/>
        <v>Kosong</v>
      </c>
    </row>
    <row r="41" spans="2:54">
      <c r="B41" s="7">
        <v>31</v>
      </c>
      <c r="C41" s="7" t="str">
        <f>'Data Siswa'!C34&amp;""</f>
        <v/>
      </c>
      <c r="D41" s="25" t="str">
        <f>'Data Siswa'!E34&amp;""</f>
        <v/>
      </c>
      <c r="E41" s="11" t="str">
        <f>'Data Siswa'!F34&amp;""</f>
        <v/>
      </c>
      <c r="F41" s="434"/>
      <c r="G41" s="413" t="str">
        <f>'REKAP RAPOR'!F38</f>
        <v/>
      </c>
      <c r="H41" s="416"/>
      <c r="I41" s="416"/>
      <c r="J41" s="414" t="str">
        <f t="shared" si="1"/>
        <v/>
      </c>
      <c r="K41" s="413" t="str">
        <f>'REKAP RAPOR'!G38</f>
        <v/>
      </c>
      <c r="L41" s="416"/>
      <c r="M41" s="416"/>
      <c r="N41" s="414" t="str">
        <f t="shared" si="2"/>
        <v/>
      </c>
      <c r="O41" s="413" t="str">
        <f>'REKAP RAPOR'!H38</f>
        <v/>
      </c>
      <c r="P41" s="416"/>
      <c r="Q41" s="416"/>
      <c r="R41" s="414" t="str">
        <f t="shared" si="3"/>
        <v/>
      </c>
      <c r="S41" s="413" t="str">
        <f>'REKAP RAPOR'!I38</f>
        <v/>
      </c>
      <c r="T41" s="416"/>
      <c r="U41" s="416"/>
      <c r="V41" s="414" t="str">
        <f t="shared" si="4"/>
        <v/>
      </c>
      <c r="W41" s="413" t="str">
        <f>'REKAP RAPOR'!J38</f>
        <v/>
      </c>
      <c r="X41" s="416"/>
      <c r="Y41" s="416"/>
      <c r="Z41" s="414" t="str">
        <f t="shared" si="5"/>
        <v/>
      </c>
      <c r="AA41" s="413" t="str">
        <f>'REKAP RAPOR'!K38</f>
        <v/>
      </c>
      <c r="AB41" s="416"/>
      <c r="AC41" s="416"/>
      <c r="AD41" s="414" t="str">
        <f t="shared" si="6"/>
        <v/>
      </c>
      <c r="AE41" s="413" t="str">
        <f>'REKAP RAPOR'!L38</f>
        <v/>
      </c>
      <c r="AF41" s="416"/>
      <c r="AG41" s="416"/>
      <c r="AH41" s="414" t="str">
        <f t="shared" si="7"/>
        <v/>
      </c>
      <c r="AI41" s="413" t="str">
        <f>'REKAP RAPOR'!M38</f>
        <v/>
      </c>
      <c r="AJ41" s="416"/>
      <c r="AK41" s="416"/>
      <c r="AL41" s="414" t="str">
        <f t="shared" si="8"/>
        <v/>
      </c>
      <c r="AM41" s="413" t="str">
        <f>'REKAP RAPOR'!N38</f>
        <v/>
      </c>
      <c r="AN41" s="416"/>
      <c r="AO41" s="416"/>
      <c r="AP41" s="414" t="str">
        <f t="shared" si="9"/>
        <v/>
      </c>
      <c r="AQ41" s="413" t="str">
        <f>'REKAP RAPOR'!O38</f>
        <v/>
      </c>
      <c r="AR41" s="416"/>
      <c r="AS41" s="416"/>
      <c r="AT41" s="414" t="str">
        <f t="shared" si="10"/>
        <v/>
      </c>
      <c r="AU41" s="413" t="str">
        <f>'REKAP RAPOR'!P38</f>
        <v/>
      </c>
      <c r="AV41" s="416"/>
      <c r="AW41" s="416"/>
      <c r="AX41" s="417" t="str">
        <f t="shared" si="11"/>
        <v/>
      </c>
      <c r="AY41" s="418" t="str">
        <f t="shared" si="12"/>
        <v/>
      </c>
      <c r="AZ41" s="396" t="str">
        <f t="shared" si="13"/>
        <v/>
      </c>
      <c r="BB41" s="35" t="str">
        <f t="shared" si="0"/>
        <v>Kosong</v>
      </c>
    </row>
    <row r="42" spans="2:54">
      <c r="B42" s="7">
        <v>32</v>
      </c>
      <c r="C42" s="7" t="str">
        <f>'Data Siswa'!C35&amp;""</f>
        <v/>
      </c>
      <c r="D42" s="25" t="str">
        <f>'Data Siswa'!E35&amp;""</f>
        <v/>
      </c>
      <c r="E42" s="11" t="str">
        <f>'Data Siswa'!F35&amp;""</f>
        <v/>
      </c>
      <c r="F42" s="434"/>
      <c r="G42" s="413" t="str">
        <f>'REKAP RAPOR'!F39</f>
        <v/>
      </c>
      <c r="H42" s="416"/>
      <c r="I42" s="416"/>
      <c r="J42" s="414" t="str">
        <f t="shared" si="1"/>
        <v/>
      </c>
      <c r="K42" s="413" t="str">
        <f>'REKAP RAPOR'!G39</f>
        <v/>
      </c>
      <c r="L42" s="416"/>
      <c r="M42" s="416"/>
      <c r="N42" s="414" t="str">
        <f t="shared" si="2"/>
        <v/>
      </c>
      <c r="O42" s="413" t="str">
        <f>'REKAP RAPOR'!H39</f>
        <v/>
      </c>
      <c r="P42" s="416"/>
      <c r="Q42" s="416"/>
      <c r="R42" s="414" t="str">
        <f t="shared" si="3"/>
        <v/>
      </c>
      <c r="S42" s="413" t="str">
        <f>'REKAP RAPOR'!I39</f>
        <v/>
      </c>
      <c r="T42" s="416"/>
      <c r="U42" s="416"/>
      <c r="V42" s="414" t="str">
        <f t="shared" si="4"/>
        <v/>
      </c>
      <c r="W42" s="413" t="str">
        <f>'REKAP RAPOR'!J39</f>
        <v/>
      </c>
      <c r="X42" s="416"/>
      <c r="Y42" s="416"/>
      <c r="Z42" s="414" t="str">
        <f t="shared" si="5"/>
        <v/>
      </c>
      <c r="AA42" s="413" t="str">
        <f>'REKAP RAPOR'!K39</f>
        <v/>
      </c>
      <c r="AB42" s="416"/>
      <c r="AC42" s="416"/>
      <c r="AD42" s="414" t="str">
        <f t="shared" si="6"/>
        <v/>
      </c>
      <c r="AE42" s="413" t="str">
        <f>'REKAP RAPOR'!L39</f>
        <v/>
      </c>
      <c r="AF42" s="416"/>
      <c r="AG42" s="416"/>
      <c r="AH42" s="414" t="str">
        <f t="shared" si="7"/>
        <v/>
      </c>
      <c r="AI42" s="413" t="str">
        <f>'REKAP RAPOR'!M39</f>
        <v/>
      </c>
      <c r="AJ42" s="416"/>
      <c r="AK42" s="416"/>
      <c r="AL42" s="414" t="str">
        <f t="shared" si="8"/>
        <v/>
      </c>
      <c r="AM42" s="413" t="str">
        <f>'REKAP RAPOR'!N39</f>
        <v/>
      </c>
      <c r="AN42" s="416"/>
      <c r="AO42" s="416"/>
      <c r="AP42" s="414" t="str">
        <f t="shared" si="9"/>
        <v/>
      </c>
      <c r="AQ42" s="413" t="str">
        <f>'REKAP RAPOR'!O39</f>
        <v/>
      </c>
      <c r="AR42" s="416"/>
      <c r="AS42" s="416"/>
      <c r="AT42" s="414" t="str">
        <f t="shared" si="10"/>
        <v/>
      </c>
      <c r="AU42" s="413" t="str">
        <f>'REKAP RAPOR'!P39</f>
        <v/>
      </c>
      <c r="AV42" s="416"/>
      <c r="AW42" s="416"/>
      <c r="AX42" s="417" t="str">
        <f t="shared" si="11"/>
        <v/>
      </c>
      <c r="AY42" s="418" t="str">
        <f t="shared" si="12"/>
        <v/>
      </c>
      <c r="AZ42" s="396" t="str">
        <f t="shared" si="13"/>
        <v/>
      </c>
      <c r="BB42" s="35" t="str">
        <f t="shared" si="0"/>
        <v>Kosong</v>
      </c>
    </row>
    <row r="43" spans="2:54">
      <c r="B43" s="7">
        <v>33</v>
      </c>
      <c r="C43" s="7" t="str">
        <f>'Data Siswa'!C36&amp;""</f>
        <v/>
      </c>
      <c r="D43" s="25" t="str">
        <f>'Data Siswa'!E36&amp;""</f>
        <v/>
      </c>
      <c r="E43" s="11" t="str">
        <f>'Data Siswa'!F36&amp;""</f>
        <v/>
      </c>
      <c r="F43" s="434"/>
      <c r="G43" s="413" t="str">
        <f>'REKAP RAPOR'!F40</f>
        <v/>
      </c>
      <c r="H43" s="416"/>
      <c r="I43" s="416"/>
      <c r="J43" s="414" t="str">
        <f t="shared" si="1"/>
        <v/>
      </c>
      <c r="K43" s="413" t="str">
        <f>'REKAP RAPOR'!G40</f>
        <v/>
      </c>
      <c r="L43" s="416"/>
      <c r="M43" s="416"/>
      <c r="N43" s="414" t="str">
        <f t="shared" si="2"/>
        <v/>
      </c>
      <c r="O43" s="413" t="str">
        <f>'REKAP RAPOR'!H40</f>
        <v/>
      </c>
      <c r="P43" s="416"/>
      <c r="Q43" s="416"/>
      <c r="R43" s="414" t="str">
        <f t="shared" si="3"/>
        <v/>
      </c>
      <c r="S43" s="413" t="str">
        <f>'REKAP RAPOR'!I40</f>
        <v/>
      </c>
      <c r="T43" s="416"/>
      <c r="U43" s="416"/>
      <c r="V43" s="414" t="str">
        <f t="shared" si="4"/>
        <v/>
      </c>
      <c r="W43" s="413" t="str">
        <f>'REKAP RAPOR'!J40</f>
        <v/>
      </c>
      <c r="X43" s="416"/>
      <c r="Y43" s="416"/>
      <c r="Z43" s="414" t="str">
        <f t="shared" si="5"/>
        <v/>
      </c>
      <c r="AA43" s="413" t="str">
        <f>'REKAP RAPOR'!K40</f>
        <v/>
      </c>
      <c r="AB43" s="416"/>
      <c r="AC43" s="416"/>
      <c r="AD43" s="414" t="str">
        <f t="shared" si="6"/>
        <v/>
      </c>
      <c r="AE43" s="413" t="str">
        <f>'REKAP RAPOR'!L40</f>
        <v/>
      </c>
      <c r="AF43" s="416"/>
      <c r="AG43" s="416"/>
      <c r="AH43" s="414" t="str">
        <f t="shared" si="7"/>
        <v/>
      </c>
      <c r="AI43" s="413" t="str">
        <f>'REKAP RAPOR'!M40</f>
        <v/>
      </c>
      <c r="AJ43" s="416"/>
      <c r="AK43" s="416"/>
      <c r="AL43" s="414" t="str">
        <f t="shared" si="8"/>
        <v/>
      </c>
      <c r="AM43" s="413" t="str">
        <f>'REKAP RAPOR'!N40</f>
        <v/>
      </c>
      <c r="AN43" s="416"/>
      <c r="AO43" s="416"/>
      <c r="AP43" s="414" t="str">
        <f t="shared" si="9"/>
        <v/>
      </c>
      <c r="AQ43" s="413" t="str">
        <f>'REKAP RAPOR'!O40</f>
        <v/>
      </c>
      <c r="AR43" s="416"/>
      <c r="AS43" s="416"/>
      <c r="AT43" s="414" t="str">
        <f t="shared" si="10"/>
        <v/>
      </c>
      <c r="AU43" s="413" t="str">
        <f>'REKAP RAPOR'!P40</f>
        <v/>
      </c>
      <c r="AV43" s="416"/>
      <c r="AW43" s="416"/>
      <c r="AX43" s="417" t="str">
        <f t="shared" si="11"/>
        <v/>
      </c>
      <c r="AY43" s="418" t="str">
        <f t="shared" si="12"/>
        <v/>
      </c>
      <c r="AZ43" s="396" t="str">
        <f t="shared" si="13"/>
        <v/>
      </c>
      <c r="BB43" s="35" t="str">
        <f t="shared" ref="BB43:BB60" si="14">IF(E43="","Kosong","Data")</f>
        <v>Kosong</v>
      </c>
    </row>
    <row r="44" spans="2:54">
      <c r="B44" s="7">
        <v>34</v>
      </c>
      <c r="C44" s="7" t="str">
        <f>'Data Siswa'!C37&amp;""</f>
        <v/>
      </c>
      <c r="D44" s="25" t="str">
        <f>'Data Siswa'!E37&amp;""</f>
        <v/>
      </c>
      <c r="E44" s="11" t="str">
        <f>'Data Siswa'!F37&amp;""</f>
        <v/>
      </c>
      <c r="F44" s="434"/>
      <c r="G44" s="413" t="str">
        <f>'REKAP RAPOR'!F41</f>
        <v/>
      </c>
      <c r="H44" s="416"/>
      <c r="I44" s="416"/>
      <c r="J44" s="414" t="str">
        <f t="shared" si="1"/>
        <v/>
      </c>
      <c r="K44" s="413" t="str">
        <f>'REKAP RAPOR'!G41</f>
        <v/>
      </c>
      <c r="L44" s="416"/>
      <c r="M44" s="416"/>
      <c r="N44" s="414" t="str">
        <f t="shared" si="2"/>
        <v/>
      </c>
      <c r="O44" s="413" t="str">
        <f>'REKAP RAPOR'!H41</f>
        <v/>
      </c>
      <c r="P44" s="416"/>
      <c r="Q44" s="416"/>
      <c r="R44" s="414" t="str">
        <f t="shared" si="3"/>
        <v/>
      </c>
      <c r="S44" s="413" t="str">
        <f>'REKAP RAPOR'!I41</f>
        <v/>
      </c>
      <c r="T44" s="416"/>
      <c r="U44" s="416"/>
      <c r="V44" s="414" t="str">
        <f t="shared" si="4"/>
        <v/>
      </c>
      <c r="W44" s="413" t="str">
        <f>'REKAP RAPOR'!J41</f>
        <v/>
      </c>
      <c r="X44" s="416"/>
      <c r="Y44" s="416"/>
      <c r="Z44" s="414" t="str">
        <f t="shared" si="5"/>
        <v/>
      </c>
      <c r="AA44" s="413" t="str">
        <f>'REKAP RAPOR'!K41</f>
        <v/>
      </c>
      <c r="AB44" s="416"/>
      <c r="AC44" s="416"/>
      <c r="AD44" s="414" t="str">
        <f t="shared" si="6"/>
        <v/>
      </c>
      <c r="AE44" s="413" t="str">
        <f>'REKAP RAPOR'!L41</f>
        <v/>
      </c>
      <c r="AF44" s="416"/>
      <c r="AG44" s="416"/>
      <c r="AH44" s="414" t="str">
        <f t="shared" si="7"/>
        <v/>
      </c>
      <c r="AI44" s="413" t="str">
        <f>'REKAP RAPOR'!M41</f>
        <v/>
      </c>
      <c r="AJ44" s="416"/>
      <c r="AK44" s="416"/>
      <c r="AL44" s="414" t="str">
        <f t="shared" si="8"/>
        <v/>
      </c>
      <c r="AM44" s="413" t="str">
        <f>'REKAP RAPOR'!N41</f>
        <v/>
      </c>
      <c r="AN44" s="416"/>
      <c r="AO44" s="416"/>
      <c r="AP44" s="414" t="str">
        <f t="shared" si="9"/>
        <v/>
      </c>
      <c r="AQ44" s="413" t="str">
        <f>'REKAP RAPOR'!O41</f>
        <v/>
      </c>
      <c r="AR44" s="416"/>
      <c r="AS44" s="416"/>
      <c r="AT44" s="414" t="str">
        <f t="shared" si="10"/>
        <v/>
      </c>
      <c r="AU44" s="413" t="str">
        <f>'REKAP RAPOR'!P41</f>
        <v/>
      </c>
      <c r="AV44" s="416"/>
      <c r="AW44" s="416"/>
      <c r="AX44" s="417" t="str">
        <f t="shared" si="11"/>
        <v/>
      </c>
      <c r="AY44" s="418" t="str">
        <f t="shared" si="12"/>
        <v/>
      </c>
      <c r="AZ44" s="396" t="str">
        <f t="shared" si="13"/>
        <v/>
      </c>
      <c r="BB44" s="35" t="str">
        <f t="shared" si="14"/>
        <v>Kosong</v>
      </c>
    </row>
    <row r="45" spans="2:54">
      <c r="B45" s="7">
        <v>35</v>
      </c>
      <c r="C45" s="7" t="str">
        <f>'Data Siswa'!C38&amp;""</f>
        <v/>
      </c>
      <c r="D45" s="25" t="str">
        <f>'Data Siswa'!E38&amp;""</f>
        <v/>
      </c>
      <c r="E45" s="11" t="str">
        <f>'Data Siswa'!F38&amp;""</f>
        <v/>
      </c>
      <c r="F45" s="434"/>
      <c r="G45" s="413" t="str">
        <f>'REKAP RAPOR'!F42</f>
        <v/>
      </c>
      <c r="H45" s="416"/>
      <c r="I45" s="416"/>
      <c r="J45" s="414" t="str">
        <f t="shared" si="1"/>
        <v/>
      </c>
      <c r="K45" s="413" t="str">
        <f>'REKAP RAPOR'!G42</f>
        <v/>
      </c>
      <c r="L45" s="416"/>
      <c r="M45" s="416"/>
      <c r="N45" s="414" t="str">
        <f t="shared" si="2"/>
        <v/>
      </c>
      <c r="O45" s="413" t="str">
        <f>'REKAP RAPOR'!H42</f>
        <v/>
      </c>
      <c r="P45" s="416"/>
      <c r="Q45" s="416"/>
      <c r="R45" s="414" t="str">
        <f t="shared" si="3"/>
        <v/>
      </c>
      <c r="S45" s="413" t="str">
        <f>'REKAP RAPOR'!I42</f>
        <v/>
      </c>
      <c r="T45" s="416"/>
      <c r="U45" s="416"/>
      <c r="V45" s="414" t="str">
        <f t="shared" si="4"/>
        <v/>
      </c>
      <c r="W45" s="413" t="str">
        <f>'REKAP RAPOR'!J42</f>
        <v/>
      </c>
      <c r="X45" s="416"/>
      <c r="Y45" s="416"/>
      <c r="Z45" s="414" t="str">
        <f t="shared" si="5"/>
        <v/>
      </c>
      <c r="AA45" s="413" t="str">
        <f>'REKAP RAPOR'!K42</f>
        <v/>
      </c>
      <c r="AB45" s="416"/>
      <c r="AC45" s="416"/>
      <c r="AD45" s="414" t="str">
        <f t="shared" si="6"/>
        <v/>
      </c>
      <c r="AE45" s="413" t="str">
        <f>'REKAP RAPOR'!L42</f>
        <v/>
      </c>
      <c r="AF45" s="416"/>
      <c r="AG45" s="416"/>
      <c r="AH45" s="414" t="str">
        <f t="shared" si="7"/>
        <v/>
      </c>
      <c r="AI45" s="413" t="str">
        <f>'REKAP RAPOR'!M42</f>
        <v/>
      </c>
      <c r="AJ45" s="416"/>
      <c r="AK45" s="416"/>
      <c r="AL45" s="414" t="str">
        <f t="shared" si="8"/>
        <v/>
      </c>
      <c r="AM45" s="413" t="str">
        <f>'REKAP RAPOR'!N42</f>
        <v/>
      </c>
      <c r="AN45" s="416"/>
      <c r="AO45" s="416"/>
      <c r="AP45" s="414" t="str">
        <f t="shared" si="9"/>
        <v/>
      </c>
      <c r="AQ45" s="413" t="str">
        <f>'REKAP RAPOR'!O42</f>
        <v/>
      </c>
      <c r="AR45" s="416"/>
      <c r="AS45" s="416"/>
      <c r="AT45" s="414" t="str">
        <f t="shared" si="10"/>
        <v/>
      </c>
      <c r="AU45" s="413" t="str">
        <f>'REKAP RAPOR'!P42</f>
        <v/>
      </c>
      <c r="AV45" s="416"/>
      <c r="AW45" s="416"/>
      <c r="AX45" s="417" t="str">
        <f t="shared" si="11"/>
        <v/>
      </c>
      <c r="AY45" s="418" t="str">
        <f t="shared" si="12"/>
        <v/>
      </c>
      <c r="AZ45" s="396" t="str">
        <f t="shared" si="13"/>
        <v/>
      </c>
      <c r="BB45" s="35" t="str">
        <f t="shared" si="14"/>
        <v>Kosong</v>
      </c>
    </row>
    <row r="46" spans="2:54">
      <c r="B46" s="7">
        <v>36</v>
      </c>
      <c r="C46" s="7" t="str">
        <f>'Data Siswa'!C39&amp;""</f>
        <v/>
      </c>
      <c r="D46" s="25" t="str">
        <f>'Data Siswa'!E39&amp;""</f>
        <v/>
      </c>
      <c r="E46" s="11" t="str">
        <f>'Data Siswa'!F39&amp;""</f>
        <v/>
      </c>
      <c r="F46" s="434"/>
      <c r="G46" s="413" t="str">
        <f>'REKAP RAPOR'!F43</f>
        <v/>
      </c>
      <c r="H46" s="416"/>
      <c r="I46" s="416"/>
      <c r="J46" s="414" t="str">
        <f t="shared" si="1"/>
        <v/>
      </c>
      <c r="K46" s="413" t="str">
        <f>'REKAP RAPOR'!G43</f>
        <v/>
      </c>
      <c r="L46" s="416"/>
      <c r="M46" s="416"/>
      <c r="N46" s="414" t="str">
        <f t="shared" si="2"/>
        <v/>
      </c>
      <c r="O46" s="413" t="str">
        <f>'REKAP RAPOR'!H43</f>
        <v/>
      </c>
      <c r="P46" s="416"/>
      <c r="Q46" s="416"/>
      <c r="R46" s="414" t="str">
        <f t="shared" si="3"/>
        <v/>
      </c>
      <c r="S46" s="413" t="str">
        <f>'REKAP RAPOR'!I43</f>
        <v/>
      </c>
      <c r="T46" s="416"/>
      <c r="U46" s="416"/>
      <c r="V46" s="414" t="str">
        <f t="shared" si="4"/>
        <v/>
      </c>
      <c r="W46" s="413" t="str">
        <f>'REKAP RAPOR'!J43</f>
        <v/>
      </c>
      <c r="X46" s="416"/>
      <c r="Y46" s="416"/>
      <c r="Z46" s="414" t="str">
        <f t="shared" si="5"/>
        <v/>
      </c>
      <c r="AA46" s="413" t="str">
        <f>'REKAP RAPOR'!K43</f>
        <v/>
      </c>
      <c r="AB46" s="416"/>
      <c r="AC46" s="416"/>
      <c r="AD46" s="414" t="str">
        <f t="shared" si="6"/>
        <v/>
      </c>
      <c r="AE46" s="413" t="str">
        <f>'REKAP RAPOR'!L43</f>
        <v/>
      </c>
      <c r="AF46" s="416"/>
      <c r="AG46" s="416"/>
      <c r="AH46" s="414" t="str">
        <f t="shared" si="7"/>
        <v/>
      </c>
      <c r="AI46" s="413" t="str">
        <f>'REKAP RAPOR'!M43</f>
        <v/>
      </c>
      <c r="AJ46" s="416"/>
      <c r="AK46" s="416"/>
      <c r="AL46" s="414" t="str">
        <f t="shared" si="8"/>
        <v/>
      </c>
      <c r="AM46" s="413" t="str">
        <f>'REKAP RAPOR'!N43</f>
        <v/>
      </c>
      <c r="AN46" s="416"/>
      <c r="AO46" s="416"/>
      <c r="AP46" s="414" t="str">
        <f t="shared" si="9"/>
        <v/>
      </c>
      <c r="AQ46" s="413" t="str">
        <f>'REKAP RAPOR'!O43</f>
        <v/>
      </c>
      <c r="AR46" s="416"/>
      <c r="AS46" s="416"/>
      <c r="AT46" s="414" t="str">
        <f t="shared" si="10"/>
        <v/>
      </c>
      <c r="AU46" s="413" t="str">
        <f>'REKAP RAPOR'!P43</f>
        <v/>
      </c>
      <c r="AV46" s="416"/>
      <c r="AW46" s="416"/>
      <c r="AX46" s="417" t="str">
        <f t="shared" si="11"/>
        <v/>
      </c>
      <c r="AY46" s="418" t="str">
        <f t="shared" si="12"/>
        <v/>
      </c>
      <c r="AZ46" s="396" t="str">
        <f t="shared" si="13"/>
        <v/>
      </c>
      <c r="BB46" s="35" t="str">
        <f t="shared" si="14"/>
        <v>Kosong</v>
      </c>
    </row>
    <row r="47" spans="2:54">
      <c r="B47" s="7">
        <v>37</v>
      </c>
      <c r="C47" s="7" t="str">
        <f>'Data Siswa'!C40&amp;""</f>
        <v/>
      </c>
      <c r="D47" s="25" t="str">
        <f>'Data Siswa'!E40&amp;""</f>
        <v/>
      </c>
      <c r="E47" s="11" t="str">
        <f>'Data Siswa'!F40&amp;""</f>
        <v/>
      </c>
      <c r="F47" s="434"/>
      <c r="G47" s="413" t="str">
        <f>'REKAP RAPOR'!F44</f>
        <v/>
      </c>
      <c r="H47" s="416"/>
      <c r="I47" s="416"/>
      <c r="J47" s="414" t="str">
        <f t="shared" si="1"/>
        <v/>
      </c>
      <c r="K47" s="413" t="str">
        <f>'REKAP RAPOR'!G44</f>
        <v/>
      </c>
      <c r="L47" s="416"/>
      <c r="M47" s="416"/>
      <c r="N47" s="414" t="str">
        <f t="shared" si="2"/>
        <v/>
      </c>
      <c r="O47" s="413" t="str">
        <f>'REKAP RAPOR'!H44</f>
        <v/>
      </c>
      <c r="P47" s="416"/>
      <c r="Q47" s="416"/>
      <c r="R47" s="414" t="str">
        <f t="shared" si="3"/>
        <v/>
      </c>
      <c r="S47" s="413" t="str">
        <f>'REKAP RAPOR'!I44</f>
        <v/>
      </c>
      <c r="T47" s="416"/>
      <c r="U47" s="416"/>
      <c r="V47" s="414" t="str">
        <f t="shared" si="4"/>
        <v/>
      </c>
      <c r="W47" s="413" t="str">
        <f>'REKAP RAPOR'!J44</f>
        <v/>
      </c>
      <c r="X47" s="416"/>
      <c r="Y47" s="416"/>
      <c r="Z47" s="414" t="str">
        <f t="shared" si="5"/>
        <v/>
      </c>
      <c r="AA47" s="413" t="str">
        <f>'REKAP RAPOR'!K44</f>
        <v/>
      </c>
      <c r="AB47" s="416"/>
      <c r="AC47" s="416"/>
      <c r="AD47" s="414" t="str">
        <f t="shared" si="6"/>
        <v/>
      </c>
      <c r="AE47" s="413" t="str">
        <f>'REKAP RAPOR'!L44</f>
        <v/>
      </c>
      <c r="AF47" s="416"/>
      <c r="AG47" s="416"/>
      <c r="AH47" s="414" t="str">
        <f t="shared" si="7"/>
        <v/>
      </c>
      <c r="AI47" s="413" t="str">
        <f>'REKAP RAPOR'!M44</f>
        <v/>
      </c>
      <c r="AJ47" s="416"/>
      <c r="AK47" s="416"/>
      <c r="AL47" s="414" t="str">
        <f t="shared" si="8"/>
        <v/>
      </c>
      <c r="AM47" s="413" t="str">
        <f>'REKAP RAPOR'!N44</f>
        <v/>
      </c>
      <c r="AN47" s="416"/>
      <c r="AO47" s="416"/>
      <c r="AP47" s="414" t="str">
        <f t="shared" si="9"/>
        <v/>
      </c>
      <c r="AQ47" s="413" t="str">
        <f>'REKAP RAPOR'!O44</f>
        <v/>
      </c>
      <c r="AR47" s="416"/>
      <c r="AS47" s="416"/>
      <c r="AT47" s="414" t="str">
        <f t="shared" si="10"/>
        <v/>
      </c>
      <c r="AU47" s="413" t="str">
        <f>'REKAP RAPOR'!P44</f>
        <v/>
      </c>
      <c r="AV47" s="416"/>
      <c r="AW47" s="416"/>
      <c r="AX47" s="417" t="str">
        <f t="shared" si="11"/>
        <v/>
      </c>
      <c r="AY47" s="418" t="str">
        <f t="shared" si="12"/>
        <v/>
      </c>
      <c r="AZ47" s="396" t="str">
        <f t="shared" si="13"/>
        <v/>
      </c>
      <c r="BB47" s="35" t="str">
        <f t="shared" si="14"/>
        <v>Kosong</v>
      </c>
    </row>
    <row r="48" spans="2:54">
      <c r="B48" s="7">
        <v>38</v>
      </c>
      <c r="C48" s="7" t="str">
        <f>'Data Siswa'!C41&amp;""</f>
        <v/>
      </c>
      <c r="D48" s="25" t="str">
        <f>'Data Siswa'!E41&amp;""</f>
        <v/>
      </c>
      <c r="E48" s="11" t="str">
        <f>'Data Siswa'!F41&amp;""</f>
        <v/>
      </c>
      <c r="F48" s="434"/>
      <c r="G48" s="413" t="str">
        <f>'REKAP RAPOR'!F45</f>
        <v/>
      </c>
      <c r="H48" s="416"/>
      <c r="I48" s="416"/>
      <c r="J48" s="414" t="str">
        <f t="shared" si="1"/>
        <v/>
      </c>
      <c r="K48" s="413" t="str">
        <f>'REKAP RAPOR'!G45</f>
        <v/>
      </c>
      <c r="L48" s="416"/>
      <c r="M48" s="416"/>
      <c r="N48" s="414" t="str">
        <f t="shared" si="2"/>
        <v/>
      </c>
      <c r="O48" s="413" t="str">
        <f>'REKAP RAPOR'!H45</f>
        <v/>
      </c>
      <c r="P48" s="416"/>
      <c r="Q48" s="416"/>
      <c r="R48" s="414" t="str">
        <f t="shared" si="3"/>
        <v/>
      </c>
      <c r="S48" s="413" t="str">
        <f>'REKAP RAPOR'!I45</f>
        <v/>
      </c>
      <c r="T48" s="416"/>
      <c r="U48" s="416"/>
      <c r="V48" s="414" t="str">
        <f t="shared" si="4"/>
        <v/>
      </c>
      <c r="W48" s="413" t="str">
        <f>'REKAP RAPOR'!J45</f>
        <v/>
      </c>
      <c r="X48" s="416"/>
      <c r="Y48" s="416"/>
      <c r="Z48" s="414" t="str">
        <f t="shared" si="5"/>
        <v/>
      </c>
      <c r="AA48" s="413" t="str">
        <f>'REKAP RAPOR'!K45</f>
        <v/>
      </c>
      <c r="AB48" s="416"/>
      <c r="AC48" s="416"/>
      <c r="AD48" s="414" t="str">
        <f t="shared" si="6"/>
        <v/>
      </c>
      <c r="AE48" s="413" t="str">
        <f>'REKAP RAPOR'!L45</f>
        <v/>
      </c>
      <c r="AF48" s="416"/>
      <c r="AG48" s="416"/>
      <c r="AH48" s="414" t="str">
        <f t="shared" si="7"/>
        <v/>
      </c>
      <c r="AI48" s="413" t="str">
        <f>'REKAP RAPOR'!M45</f>
        <v/>
      </c>
      <c r="AJ48" s="416"/>
      <c r="AK48" s="416"/>
      <c r="AL48" s="414" t="str">
        <f t="shared" si="8"/>
        <v/>
      </c>
      <c r="AM48" s="413" t="str">
        <f>'REKAP RAPOR'!N45</f>
        <v/>
      </c>
      <c r="AN48" s="416"/>
      <c r="AO48" s="416"/>
      <c r="AP48" s="414" t="str">
        <f t="shared" si="9"/>
        <v/>
      </c>
      <c r="AQ48" s="413" t="str">
        <f>'REKAP RAPOR'!O45</f>
        <v/>
      </c>
      <c r="AR48" s="416"/>
      <c r="AS48" s="416"/>
      <c r="AT48" s="414" t="str">
        <f t="shared" si="10"/>
        <v/>
      </c>
      <c r="AU48" s="413" t="str">
        <f>'REKAP RAPOR'!P45</f>
        <v/>
      </c>
      <c r="AV48" s="416"/>
      <c r="AW48" s="416"/>
      <c r="AX48" s="417" t="str">
        <f t="shared" si="11"/>
        <v/>
      </c>
      <c r="AY48" s="418" t="str">
        <f t="shared" si="12"/>
        <v/>
      </c>
      <c r="AZ48" s="396" t="str">
        <f t="shared" si="13"/>
        <v/>
      </c>
      <c r="BB48" s="35" t="str">
        <f t="shared" si="14"/>
        <v>Kosong</v>
      </c>
    </row>
    <row r="49" spans="2:54">
      <c r="B49" s="7">
        <v>39</v>
      </c>
      <c r="C49" s="7" t="str">
        <f>'Data Siswa'!C42&amp;""</f>
        <v/>
      </c>
      <c r="D49" s="25" t="str">
        <f>'Data Siswa'!E42&amp;""</f>
        <v/>
      </c>
      <c r="E49" s="11" t="str">
        <f>'Data Siswa'!F42&amp;""</f>
        <v/>
      </c>
      <c r="F49" s="434"/>
      <c r="G49" s="413" t="str">
        <f>'REKAP RAPOR'!F46</f>
        <v/>
      </c>
      <c r="H49" s="416"/>
      <c r="I49" s="416"/>
      <c r="J49" s="414" t="str">
        <f t="shared" si="1"/>
        <v/>
      </c>
      <c r="K49" s="413" t="str">
        <f>'REKAP RAPOR'!G46</f>
        <v/>
      </c>
      <c r="L49" s="416"/>
      <c r="M49" s="416"/>
      <c r="N49" s="414" t="str">
        <f t="shared" si="2"/>
        <v/>
      </c>
      <c r="O49" s="413" t="str">
        <f>'REKAP RAPOR'!H46</f>
        <v/>
      </c>
      <c r="P49" s="416"/>
      <c r="Q49" s="416"/>
      <c r="R49" s="414" t="str">
        <f t="shared" si="3"/>
        <v/>
      </c>
      <c r="S49" s="413" t="str">
        <f>'REKAP RAPOR'!I46</f>
        <v/>
      </c>
      <c r="T49" s="416"/>
      <c r="U49" s="416"/>
      <c r="V49" s="414" t="str">
        <f t="shared" si="4"/>
        <v/>
      </c>
      <c r="W49" s="413" t="str">
        <f>'REKAP RAPOR'!J46</f>
        <v/>
      </c>
      <c r="X49" s="416"/>
      <c r="Y49" s="416"/>
      <c r="Z49" s="414" t="str">
        <f t="shared" si="5"/>
        <v/>
      </c>
      <c r="AA49" s="413" t="str">
        <f>'REKAP RAPOR'!K46</f>
        <v/>
      </c>
      <c r="AB49" s="416"/>
      <c r="AC49" s="416"/>
      <c r="AD49" s="414" t="str">
        <f t="shared" si="6"/>
        <v/>
      </c>
      <c r="AE49" s="413" t="str">
        <f>'REKAP RAPOR'!L46</f>
        <v/>
      </c>
      <c r="AF49" s="416"/>
      <c r="AG49" s="416"/>
      <c r="AH49" s="414" t="str">
        <f t="shared" si="7"/>
        <v/>
      </c>
      <c r="AI49" s="413" t="str">
        <f>'REKAP RAPOR'!M46</f>
        <v/>
      </c>
      <c r="AJ49" s="416"/>
      <c r="AK49" s="416"/>
      <c r="AL49" s="414" t="str">
        <f t="shared" si="8"/>
        <v/>
      </c>
      <c r="AM49" s="413" t="str">
        <f>'REKAP RAPOR'!N46</f>
        <v/>
      </c>
      <c r="AN49" s="416"/>
      <c r="AO49" s="416"/>
      <c r="AP49" s="414" t="str">
        <f t="shared" si="9"/>
        <v/>
      </c>
      <c r="AQ49" s="413" t="str">
        <f>'REKAP RAPOR'!O46</f>
        <v/>
      </c>
      <c r="AR49" s="416"/>
      <c r="AS49" s="416"/>
      <c r="AT49" s="414" t="str">
        <f t="shared" si="10"/>
        <v/>
      </c>
      <c r="AU49" s="413" t="str">
        <f>'REKAP RAPOR'!P46</f>
        <v/>
      </c>
      <c r="AV49" s="416"/>
      <c r="AW49" s="416"/>
      <c r="AX49" s="417" t="str">
        <f t="shared" si="11"/>
        <v/>
      </c>
      <c r="AY49" s="418" t="str">
        <f t="shared" si="12"/>
        <v/>
      </c>
      <c r="AZ49" s="396" t="str">
        <f t="shared" si="13"/>
        <v/>
      </c>
      <c r="BB49" s="35" t="str">
        <f t="shared" si="14"/>
        <v>Kosong</v>
      </c>
    </row>
    <row r="50" spans="2:54">
      <c r="B50" s="7">
        <v>40</v>
      </c>
      <c r="C50" s="7" t="str">
        <f>'Data Siswa'!C43&amp;""</f>
        <v/>
      </c>
      <c r="D50" s="25" t="str">
        <f>'Data Siswa'!E43&amp;""</f>
        <v/>
      </c>
      <c r="E50" s="11" t="str">
        <f>'Data Siswa'!F43&amp;""</f>
        <v/>
      </c>
      <c r="F50" s="434"/>
      <c r="G50" s="413" t="str">
        <f>'REKAP RAPOR'!F47</f>
        <v/>
      </c>
      <c r="H50" s="416"/>
      <c r="I50" s="416"/>
      <c r="J50" s="414" t="str">
        <f t="shared" si="1"/>
        <v/>
      </c>
      <c r="K50" s="413" t="str">
        <f>'REKAP RAPOR'!G47</f>
        <v/>
      </c>
      <c r="L50" s="416"/>
      <c r="M50" s="416"/>
      <c r="N50" s="414" t="str">
        <f t="shared" si="2"/>
        <v/>
      </c>
      <c r="O50" s="413" t="str">
        <f>'REKAP RAPOR'!H47</f>
        <v/>
      </c>
      <c r="P50" s="416"/>
      <c r="Q50" s="416"/>
      <c r="R50" s="414" t="str">
        <f t="shared" si="3"/>
        <v/>
      </c>
      <c r="S50" s="413" t="str">
        <f>'REKAP RAPOR'!I47</f>
        <v/>
      </c>
      <c r="T50" s="416"/>
      <c r="U50" s="416"/>
      <c r="V50" s="414" t="str">
        <f t="shared" si="4"/>
        <v/>
      </c>
      <c r="W50" s="413" t="str">
        <f>'REKAP RAPOR'!J47</f>
        <v/>
      </c>
      <c r="X50" s="416"/>
      <c r="Y50" s="416"/>
      <c r="Z50" s="414" t="str">
        <f t="shared" si="5"/>
        <v/>
      </c>
      <c r="AA50" s="413" t="str">
        <f>'REKAP RAPOR'!K47</f>
        <v/>
      </c>
      <c r="AB50" s="416"/>
      <c r="AC50" s="416"/>
      <c r="AD50" s="414" t="str">
        <f t="shared" si="6"/>
        <v/>
      </c>
      <c r="AE50" s="413" t="str">
        <f>'REKAP RAPOR'!L47</f>
        <v/>
      </c>
      <c r="AF50" s="416"/>
      <c r="AG50" s="416"/>
      <c r="AH50" s="414" t="str">
        <f t="shared" si="7"/>
        <v/>
      </c>
      <c r="AI50" s="413" t="str">
        <f>'REKAP RAPOR'!M47</f>
        <v/>
      </c>
      <c r="AJ50" s="416"/>
      <c r="AK50" s="416"/>
      <c r="AL50" s="414" t="str">
        <f t="shared" si="8"/>
        <v/>
      </c>
      <c r="AM50" s="413" t="str">
        <f>'REKAP RAPOR'!N47</f>
        <v/>
      </c>
      <c r="AN50" s="416"/>
      <c r="AO50" s="416"/>
      <c r="AP50" s="414" t="str">
        <f t="shared" si="9"/>
        <v/>
      </c>
      <c r="AQ50" s="413" t="str">
        <f>'REKAP RAPOR'!O47</f>
        <v/>
      </c>
      <c r="AR50" s="416"/>
      <c r="AS50" s="416"/>
      <c r="AT50" s="414" t="str">
        <f t="shared" si="10"/>
        <v/>
      </c>
      <c r="AU50" s="413" t="str">
        <f>'REKAP RAPOR'!P47</f>
        <v/>
      </c>
      <c r="AV50" s="416"/>
      <c r="AW50" s="416"/>
      <c r="AX50" s="417" t="str">
        <f t="shared" si="11"/>
        <v/>
      </c>
      <c r="AY50" s="418" t="str">
        <f t="shared" si="12"/>
        <v/>
      </c>
      <c r="AZ50" s="396" t="str">
        <f t="shared" si="13"/>
        <v/>
      </c>
      <c r="BB50" s="35" t="str">
        <f t="shared" si="14"/>
        <v>Kosong</v>
      </c>
    </row>
    <row r="51" spans="2:54">
      <c r="B51" s="7">
        <v>41</v>
      </c>
      <c r="C51" s="7" t="str">
        <f>'Data Siswa'!C44&amp;""</f>
        <v/>
      </c>
      <c r="D51" s="25" t="str">
        <f>'Data Siswa'!E44&amp;""</f>
        <v/>
      </c>
      <c r="E51" s="11" t="str">
        <f>'Data Siswa'!F44&amp;""</f>
        <v/>
      </c>
      <c r="F51" s="434"/>
      <c r="G51" s="413" t="str">
        <f>'REKAP RAPOR'!F48</f>
        <v/>
      </c>
      <c r="H51" s="416"/>
      <c r="I51" s="416"/>
      <c r="J51" s="414" t="str">
        <f t="shared" si="1"/>
        <v/>
      </c>
      <c r="K51" s="413" t="str">
        <f>'REKAP RAPOR'!G48</f>
        <v/>
      </c>
      <c r="L51" s="416"/>
      <c r="M51" s="416"/>
      <c r="N51" s="414" t="str">
        <f t="shared" si="2"/>
        <v/>
      </c>
      <c r="O51" s="413" t="str">
        <f>'REKAP RAPOR'!H48</f>
        <v/>
      </c>
      <c r="P51" s="416"/>
      <c r="Q51" s="416"/>
      <c r="R51" s="414" t="str">
        <f t="shared" si="3"/>
        <v/>
      </c>
      <c r="S51" s="413" t="str">
        <f>'REKAP RAPOR'!I48</f>
        <v/>
      </c>
      <c r="T51" s="416"/>
      <c r="U51" s="416"/>
      <c r="V51" s="414" t="str">
        <f t="shared" si="4"/>
        <v/>
      </c>
      <c r="W51" s="413" t="str">
        <f>'REKAP RAPOR'!J48</f>
        <v/>
      </c>
      <c r="X51" s="416"/>
      <c r="Y51" s="416"/>
      <c r="Z51" s="414" t="str">
        <f t="shared" si="5"/>
        <v/>
      </c>
      <c r="AA51" s="413" t="str">
        <f>'REKAP RAPOR'!K48</f>
        <v/>
      </c>
      <c r="AB51" s="416"/>
      <c r="AC51" s="416"/>
      <c r="AD51" s="414" t="str">
        <f t="shared" si="6"/>
        <v/>
      </c>
      <c r="AE51" s="413" t="str">
        <f>'REKAP RAPOR'!L48</f>
        <v/>
      </c>
      <c r="AF51" s="416"/>
      <c r="AG51" s="416"/>
      <c r="AH51" s="414" t="str">
        <f t="shared" si="7"/>
        <v/>
      </c>
      <c r="AI51" s="413" t="str">
        <f>'REKAP RAPOR'!M48</f>
        <v/>
      </c>
      <c r="AJ51" s="416"/>
      <c r="AK51" s="416"/>
      <c r="AL51" s="414" t="str">
        <f t="shared" si="8"/>
        <v/>
      </c>
      <c r="AM51" s="413" t="str">
        <f>'REKAP RAPOR'!N48</f>
        <v/>
      </c>
      <c r="AN51" s="416"/>
      <c r="AO51" s="416"/>
      <c r="AP51" s="414" t="str">
        <f t="shared" si="9"/>
        <v/>
      </c>
      <c r="AQ51" s="413" t="str">
        <f>'REKAP RAPOR'!O48</f>
        <v/>
      </c>
      <c r="AR51" s="416"/>
      <c r="AS51" s="416"/>
      <c r="AT51" s="414" t="str">
        <f t="shared" si="10"/>
        <v/>
      </c>
      <c r="AU51" s="413" t="str">
        <f>'REKAP RAPOR'!P48</f>
        <v/>
      </c>
      <c r="AV51" s="416"/>
      <c r="AW51" s="416"/>
      <c r="AX51" s="417" t="str">
        <f t="shared" si="11"/>
        <v/>
      </c>
      <c r="AY51" s="418" t="str">
        <f t="shared" si="12"/>
        <v/>
      </c>
      <c r="AZ51" s="396" t="str">
        <f t="shared" si="13"/>
        <v/>
      </c>
      <c r="BB51" s="35" t="str">
        <f t="shared" si="14"/>
        <v>Kosong</v>
      </c>
    </row>
    <row r="52" spans="2:54">
      <c r="B52" s="7">
        <v>42</v>
      </c>
      <c r="C52" s="7" t="str">
        <f>'Data Siswa'!C45&amp;""</f>
        <v/>
      </c>
      <c r="D52" s="25" t="str">
        <f>'Data Siswa'!E45&amp;""</f>
        <v/>
      </c>
      <c r="E52" s="11" t="str">
        <f>'Data Siswa'!F45&amp;""</f>
        <v/>
      </c>
      <c r="F52" s="434"/>
      <c r="G52" s="413" t="str">
        <f>'REKAP RAPOR'!F49</f>
        <v/>
      </c>
      <c r="H52" s="416"/>
      <c r="I52" s="416"/>
      <c r="J52" s="414" t="str">
        <f t="shared" si="1"/>
        <v/>
      </c>
      <c r="K52" s="413" t="str">
        <f>'REKAP RAPOR'!G49</f>
        <v/>
      </c>
      <c r="L52" s="416"/>
      <c r="M52" s="416"/>
      <c r="N52" s="414" t="str">
        <f t="shared" si="2"/>
        <v/>
      </c>
      <c r="O52" s="413" t="str">
        <f>'REKAP RAPOR'!H49</f>
        <v/>
      </c>
      <c r="P52" s="416"/>
      <c r="Q52" s="416"/>
      <c r="R52" s="414" t="str">
        <f t="shared" si="3"/>
        <v/>
      </c>
      <c r="S52" s="413" t="str">
        <f>'REKAP RAPOR'!I49</f>
        <v/>
      </c>
      <c r="T52" s="416"/>
      <c r="U52" s="416"/>
      <c r="V52" s="414" t="str">
        <f t="shared" si="4"/>
        <v/>
      </c>
      <c r="W52" s="413" t="str">
        <f>'REKAP RAPOR'!J49</f>
        <v/>
      </c>
      <c r="X52" s="416"/>
      <c r="Y52" s="416"/>
      <c r="Z52" s="414" t="str">
        <f t="shared" si="5"/>
        <v/>
      </c>
      <c r="AA52" s="413" t="str">
        <f>'REKAP RAPOR'!K49</f>
        <v/>
      </c>
      <c r="AB52" s="416"/>
      <c r="AC52" s="416"/>
      <c r="AD52" s="414" t="str">
        <f t="shared" si="6"/>
        <v/>
      </c>
      <c r="AE52" s="413" t="str">
        <f>'REKAP RAPOR'!L49</f>
        <v/>
      </c>
      <c r="AF52" s="416"/>
      <c r="AG52" s="416"/>
      <c r="AH52" s="414" t="str">
        <f t="shared" si="7"/>
        <v/>
      </c>
      <c r="AI52" s="413" t="str">
        <f>'REKAP RAPOR'!M49</f>
        <v/>
      </c>
      <c r="AJ52" s="416"/>
      <c r="AK52" s="416"/>
      <c r="AL52" s="414" t="str">
        <f t="shared" si="8"/>
        <v/>
      </c>
      <c r="AM52" s="413" t="str">
        <f>'REKAP RAPOR'!N49</f>
        <v/>
      </c>
      <c r="AN52" s="416"/>
      <c r="AO52" s="416"/>
      <c r="AP52" s="414" t="str">
        <f t="shared" si="9"/>
        <v/>
      </c>
      <c r="AQ52" s="413" t="str">
        <f>'REKAP RAPOR'!O49</f>
        <v/>
      </c>
      <c r="AR52" s="416"/>
      <c r="AS52" s="416"/>
      <c r="AT52" s="414" t="str">
        <f t="shared" si="10"/>
        <v/>
      </c>
      <c r="AU52" s="413" t="str">
        <f>'REKAP RAPOR'!P49</f>
        <v/>
      </c>
      <c r="AV52" s="416"/>
      <c r="AW52" s="416"/>
      <c r="AX52" s="417" t="str">
        <f t="shared" si="11"/>
        <v/>
      </c>
      <c r="AY52" s="418" t="str">
        <f t="shared" si="12"/>
        <v/>
      </c>
      <c r="AZ52" s="396" t="str">
        <f t="shared" si="13"/>
        <v/>
      </c>
      <c r="BB52" s="35" t="str">
        <f t="shared" si="14"/>
        <v>Kosong</v>
      </c>
    </row>
    <row r="53" spans="2:54">
      <c r="B53" s="7">
        <v>43</v>
      </c>
      <c r="C53" s="7" t="str">
        <f>'Data Siswa'!C46&amp;""</f>
        <v/>
      </c>
      <c r="D53" s="25" t="str">
        <f>'Data Siswa'!E46&amp;""</f>
        <v/>
      </c>
      <c r="E53" s="11" t="str">
        <f>'Data Siswa'!F46&amp;""</f>
        <v/>
      </c>
      <c r="F53" s="434"/>
      <c r="G53" s="413" t="str">
        <f>'REKAP RAPOR'!F50</f>
        <v/>
      </c>
      <c r="H53" s="416"/>
      <c r="I53" s="416"/>
      <c r="J53" s="414" t="str">
        <f t="shared" si="1"/>
        <v/>
      </c>
      <c r="K53" s="413" t="str">
        <f>'REKAP RAPOR'!G50</f>
        <v/>
      </c>
      <c r="L53" s="416"/>
      <c r="M53" s="416"/>
      <c r="N53" s="414" t="str">
        <f t="shared" si="2"/>
        <v/>
      </c>
      <c r="O53" s="413" t="str">
        <f>'REKAP RAPOR'!H50</f>
        <v/>
      </c>
      <c r="P53" s="416"/>
      <c r="Q53" s="416"/>
      <c r="R53" s="414" t="str">
        <f t="shared" si="3"/>
        <v/>
      </c>
      <c r="S53" s="413" t="str">
        <f>'REKAP RAPOR'!I50</f>
        <v/>
      </c>
      <c r="T53" s="416"/>
      <c r="U53" s="416"/>
      <c r="V53" s="414" t="str">
        <f t="shared" si="4"/>
        <v/>
      </c>
      <c r="W53" s="413" t="str">
        <f>'REKAP RAPOR'!J50</f>
        <v/>
      </c>
      <c r="X53" s="416"/>
      <c r="Y53" s="416"/>
      <c r="Z53" s="414" t="str">
        <f t="shared" si="5"/>
        <v/>
      </c>
      <c r="AA53" s="413" t="str">
        <f>'REKAP RAPOR'!K50</f>
        <v/>
      </c>
      <c r="AB53" s="416"/>
      <c r="AC53" s="416"/>
      <c r="AD53" s="414" t="str">
        <f t="shared" si="6"/>
        <v/>
      </c>
      <c r="AE53" s="413" t="str">
        <f>'REKAP RAPOR'!L50</f>
        <v/>
      </c>
      <c r="AF53" s="416"/>
      <c r="AG53" s="416"/>
      <c r="AH53" s="414" t="str">
        <f t="shared" si="7"/>
        <v/>
      </c>
      <c r="AI53" s="413" t="str">
        <f>'REKAP RAPOR'!M50</f>
        <v/>
      </c>
      <c r="AJ53" s="416"/>
      <c r="AK53" s="416"/>
      <c r="AL53" s="414" t="str">
        <f t="shared" si="8"/>
        <v/>
      </c>
      <c r="AM53" s="413" t="str">
        <f>'REKAP RAPOR'!N50</f>
        <v/>
      </c>
      <c r="AN53" s="416"/>
      <c r="AO53" s="416"/>
      <c r="AP53" s="414" t="str">
        <f t="shared" si="9"/>
        <v/>
      </c>
      <c r="AQ53" s="413" t="str">
        <f>'REKAP RAPOR'!O50</f>
        <v/>
      </c>
      <c r="AR53" s="416"/>
      <c r="AS53" s="416"/>
      <c r="AT53" s="414" t="str">
        <f t="shared" si="10"/>
        <v/>
      </c>
      <c r="AU53" s="413" t="str">
        <f>'REKAP RAPOR'!P50</f>
        <v/>
      </c>
      <c r="AV53" s="416"/>
      <c r="AW53" s="416"/>
      <c r="AX53" s="417" t="str">
        <f t="shared" si="11"/>
        <v/>
      </c>
      <c r="AY53" s="418" t="str">
        <f t="shared" si="12"/>
        <v/>
      </c>
      <c r="AZ53" s="396" t="str">
        <f t="shared" si="13"/>
        <v/>
      </c>
      <c r="BB53" s="35" t="str">
        <f t="shared" si="14"/>
        <v>Kosong</v>
      </c>
    </row>
    <row r="54" spans="2:54">
      <c r="B54" s="7">
        <v>44</v>
      </c>
      <c r="C54" s="7" t="str">
        <f>'Data Siswa'!C47&amp;""</f>
        <v/>
      </c>
      <c r="D54" s="25" t="str">
        <f>'Data Siswa'!E47&amp;""</f>
        <v/>
      </c>
      <c r="E54" s="11" t="str">
        <f>'Data Siswa'!F47&amp;""</f>
        <v/>
      </c>
      <c r="F54" s="434"/>
      <c r="G54" s="413" t="str">
        <f>'REKAP RAPOR'!F51</f>
        <v/>
      </c>
      <c r="H54" s="416"/>
      <c r="I54" s="416"/>
      <c r="J54" s="414" t="str">
        <f t="shared" si="1"/>
        <v/>
      </c>
      <c r="K54" s="413" t="str">
        <f>'REKAP RAPOR'!G51</f>
        <v/>
      </c>
      <c r="L54" s="416"/>
      <c r="M54" s="416"/>
      <c r="N54" s="414" t="str">
        <f t="shared" si="2"/>
        <v/>
      </c>
      <c r="O54" s="413" t="str">
        <f>'REKAP RAPOR'!H51</f>
        <v/>
      </c>
      <c r="P54" s="416"/>
      <c r="Q54" s="416"/>
      <c r="R54" s="414" t="str">
        <f t="shared" si="3"/>
        <v/>
      </c>
      <c r="S54" s="413" t="str">
        <f>'REKAP RAPOR'!I51</f>
        <v/>
      </c>
      <c r="T54" s="416"/>
      <c r="U54" s="416"/>
      <c r="V54" s="414" t="str">
        <f t="shared" si="4"/>
        <v/>
      </c>
      <c r="W54" s="413" t="str">
        <f>'REKAP RAPOR'!J51</f>
        <v/>
      </c>
      <c r="X54" s="416"/>
      <c r="Y54" s="416"/>
      <c r="Z54" s="414" t="str">
        <f t="shared" si="5"/>
        <v/>
      </c>
      <c r="AA54" s="413" t="str">
        <f>'REKAP RAPOR'!K51</f>
        <v/>
      </c>
      <c r="AB54" s="416"/>
      <c r="AC54" s="416"/>
      <c r="AD54" s="414" t="str">
        <f t="shared" si="6"/>
        <v/>
      </c>
      <c r="AE54" s="413" t="str">
        <f>'REKAP RAPOR'!L51</f>
        <v/>
      </c>
      <c r="AF54" s="416"/>
      <c r="AG54" s="416"/>
      <c r="AH54" s="414" t="str">
        <f t="shared" si="7"/>
        <v/>
      </c>
      <c r="AI54" s="413" t="str">
        <f>'REKAP RAPOR'!M51</f>
        <v/>
      </c>
      <c r="AJ54" s="416"/>
      <c r="AK54" s="416"/>
      <c r="AL54" s="414" t="str">
        <f t="shared" si="8"/>
        <v/>
      </c>
      <c r="AM54" s="413" t="str">
        <f>'REKAP RAPOR'!N51</f>
        <v/>
      </c>
      <c r="AN54" s="416"/>
      <c r="AO54" s="416"/>
      <c r="AP54" s="414" t="str">
        <f t="shared" si="9"/>
        <v/>
      </c>
      <c r="AQ54" s="413" t="str">
        <f>'REKAP RAPOR'!O51</f>
        <v/>
      </c>
      <c r="AR54" s="416"/>
      <c r="AS54" s="416"/>
      <c r="AT54" s="414" t="str">
        <f t="shared" si="10"/>
        <v/>
      </c>
      <c r="AU54" s="413" t="str">
        <f>'REKAP RAPOR'!P51</f>
        <v/>
      </c>
      <c r="AV54" s="416"/>
      <c r="AW54" s="416"/>
      <c r="AX54" s="417" t="str">
        <f t="shared" si="11"/>
        <v/>
      </c>
      <c r="AY54" s="418" t="str">
        <f t="shared" si="12"/>
        <v/>
      </c>
      <c r="AZ54" s="396" t="str">
        <f t="shared" si="13"/>
        <v/>
      </c>
      <c r="BB54" s="35" t="str">
        <f t="shared" si="14"/>
        <v>Kosong</v>
      </c>
    </row>
    <row r="55" spans="2:54">
      <c r="B55" s="7">
        <v>45</v>
      </c>
      <c r="C55" s="7" t="str">
        <f>'Data Siswa'!C48&amp;""</f>
        <v/>
      </c>
      <c r="D55" s="25" t="str">
        <f>'Data Siswa'!E48&amp;""</f>
        <v/>
      </c>
      <c r="E55" s="11" t="str">
        <f>'Data Siswa'!F48&amp;""</f>
        <v/>
      </c>
      <c r="F55" s="434"/>
      <c r="G55" s="413" t="str">
        <f>'REKAP RAPOR'!F52</f>
        <v/>
      </c>
      <c r="H55" s="416"/>
      <c r="I55" s="416"/>
      <c r="J55" s="414" t="str">
        <f t="shared" si="1"/>
        <v/>
      </c>
      <c r="K55" s="413" t="str">
        <f>'REKAP RAPOR'!G52</f>
        <v/>
      </c>
      <c r="L55" s="416"/>
      <c r="M55" s="416"/>
      <c r="N55" s="414" t="str">
        <f t="shared" si="2"/>
        <v/>
      </c>
      <c r="O55" s="413" t="str">
        <f>'REKAP RAPOR'!H52</f>
        <v/>
      </c>
      <c r="P55" s="416"/>
      <c r="Q55" s="416"/>
      <c r="R55" s="414" t="str">
        <f t="shared" si="3"/>
        <v/>
      </c>
      <c r="S55" s="413" t="str">
        <f>'REKAP RAPOR'!I52</f>
        <v/>
      </c>
      <c r="T55" s="416"/>
      <c r="U55" s="416"/>
      <c r="V55" s="414" t="str">
        <f t="shared" si="4"/>
        <v/>
      </c>
      <c r="W55" s="413" t="str">
        <f>'REKAP RAPOR'!J52</f>
        <v/>
      </c>
      <c r="X55" s="416"/>
      <c r="Y55" s="416"/>
      <c r="Z55" s="414" t="str">
        <f t="shared" si="5"/>
        <v/>
      </c>
      <c r="AA55" s="413" t="str">
        <f>'REKAP RAPOR'!K52</f>
        <v/>
      </c>
      <c r="AB55" s="416"/>
      <c r="AC55" s="416"/>
      <c r="AD55" s="414" t="str">
        <f t="shared" si="6"/>
        <v/>
      </c>
      <c r="AE55" s="413" t="str">
        <f>'REKAP RAPOR'!L52</f>
        <v/>
      </c>
      <c r="AF55" s="416"/>
      <c r="AG55" s="416"/>
      <c r="AH55" s="414" t="str">
        <f t="shared" si="7"/>
        <v/>
      </c>
      <c r="AI55" s="413" t="str">
        <f>'REKAP RAPOR'!M52</f>
        <v/>
      </c>
      <c r="AJ55" s="416"/>
      <c r="AK55" s="416"/>
      <c r="AL55" s="414" t="str">
        <f t="shared" si="8"/>
        <v/>
      </c>
      <c r="AM55" s="413" t="str">
        <f>'REKAP RAPOR'!N52</f>
        <v/>
      </c>
      <c r="AN55" s="416"/>
      <c r="AO55" s="416"/>
      <c r="AP55" s="414" t="str">
        <f t="shared" si="9"/>
        <v/>
      </c>
      <c r="AQ55" s="413" t="str">
        <f>'REKAP RAPOR'!O52</f>
        <v/>
      </c>
      <c r="AR55" s="416"/>
      <c r="AS55" s="416"/>
      <c r="AT55" s="414" t="str">
        <f t="shared" si="10"/>
        <v/>
      </c>
      <c r="AU55" s="413" t="str">
        <f>'REKAP RAPOR'!P52</f>
        <v/>
      </c>
      <c r="AV55" s="416"/>
      <c r="AW55" s="416"/>
      <c r="AX55" s="417" t="str">
        <f t="shared" si="11"/>
        <v/>
      </c>
      <c r="AY55" s="418" t="str">
        <f t="shared" si="12"/>
        <v/>
      </c>
      <c r="AZ55" s="396" t="str">
        <f t="shared" si="13"/>
        <v/>
      </c>
      <c r="BB55" s="35" t="str">
        <f t="shared" si="14"/>
        <v>Kosong</v>
      </c>
    </row>
    <row r="56" spans="2:54">
      <c r="B56" s="7">
        <v>46</v>
      </c>
      <c r="C56" s="7" t="str">
        <f>'Data Siswa'!C49&amp;""</f>
        <v/>
      </c>
      <c r="D56" s="25" t="str">
        <f>'Data Siswa'!E49&amp;""</f>
        <v/>
      </c>
      <c r="E56" s="11" t="str">
        <f>'Data Siswa'!F49&amp;""</f>
        <v/>
      </c>
      <c r="F56" s="434"/>
      <c r="G56" s="413" t="str">
        <f>'REKAP RAPOR'!F53</f>
        <v/>
      </c>
      <c r="H56" s="416"/>
      <c r="I56" s="416"/>
      <c r="J56" s="414" t="str">
        <f t="shared" si="1"/>
        <v/>
      </c>
      <c r="K56" s="413" t="str">
        <f>'REKAP RAPOR'!G53</f>
        <v/>
      </c>
      <c r="L56" s="416"/>
      <c r="M56" s="416"/>
      <c r="N56" s="414" t="str">
        <f t="shared" si="2"/>
        <v/>
      </c>
      <c r="O56" s="413" t="str">
        <f>'REKAP RAPOR'!H53</f>
        <v/>
      </c>
      <c r="P56" s="416"/>
      <c r="Q56" s="416"/>
      <c r="R56" s="414" t="str">
        <f t="shared" si="3"/>
        <v/>
      </c>
      <c r="S56" s="413" t="str">
        <f>'REKAP RAPOR'!I53</f>
        <v/>
      </c>
      <c r="T56" s="416"/>
      <c r="U56" s="416"/>
      <c r="V56" s="414" t="str">
        <f t="shared" si="4"/>
        <v/>
      </c>
      <c r="W56" s="413" t="str">
        <f>'REKAP RAPOR'!J53</f>
        <v/>
      </c>
      <c r="X56" s="416"/>
      <c r="Y56" s="416"/>
      <c r="Z56" s="414" t="str">
        <f t="shared" si="5"/>
        <v/>
      </c>
      <c r="AA56" s="413" t="str">
        <f>'REKAP RAPOR'!K53</f>
        <v/>
      </c>
      <c r="AB56" s="416"/>
      <c r="AC56" s="416"/>
      <c r="AD56" s="414" t="str">
        <f t="shared" si="6"/>
        <v/>
      </c>
      <c r="AE56" s="413" t="str">
        <f>'REKAP RAPOR'!L53</f>
        <v/>
      </c>
      <c r="AF56" s="416"/>
      <c r="AG56" s="416"/>
      <c r="AH56" s="414" t="str">
        <f t="shared" si="7"/>
        <v/>
      </c>
      <c r="AI56" s="413" t="str">
        <f>'REKAP RAPOR'!M53</f>
        <v/>
      </c>
      <c r="AJ56" s="416"/>
      <c r="AK56" s="416"/>
      <c r="AL56" s="414" t="str">
        <f t="shared" si="8"/>
        <v/>
      </c>
      <c r="AM56" s="413" t="str">
        <f>'REKAP RAPOR'!N53</f>
        <v/>
      </c>
      <c r="AN56" s="416"/>
      <c r="AO56" s="416"/>
      <c r="AP56" s="414" t="str">
        <f t="shared" si="9"/>
        <v/>
      </c>
      <c r="AQ56" s="413" t="str">
        <f>'REKAP RAPOR'!O53</f>
        <v/>
      </c>
      <c r="AR56" s="416"/>
      <c r="AS56" s="416"/>
      <c r="AT56" s="414" t="str">
        <f t="shared" si="10"/>
        <v/>
      </c>
      <c r="AU56" s="413" t="str">
        <f>'REKAP RAPOR'!P53</f>
        <v/>
      </c>
      <c r="AV56" s="416"/>
      <c r="AW56" s="416"/>
      <c r="AX56" s="417" t="str">
        <f t="shared" si="11"/>
        <v/>
      </c>
      <c r="AY56" s="418" t="str">
        <f t="shared" si="12"/>
        <v/>
      </c>
      <c r="AZ56" s="396" t="str">
        <f t="shared" si="13"/>
        <v/>
      </c>
      <c r="BB56" s="35" t="str">
        <f t="shared" si="14"/>
        <v>Kosong</v>
      </c>
    </row>
    <row r="57" spans="2:54">
      <c r="B57" s="7">
        <v>47</v>
      </c>
      <c r="C57" s="7" t="str">
        <f>'Data Siswa'!C50&amp;""</f>
        <v/>
      </c>
      <c r="D57" s="25" t="str">
        <f>'Data Siswa'!E50&amp;""</f>
        <v/>
      </c>
      <c r="E57" s="11" t="str">
        <f>'Data Siswa'!F50&amp;""</f>
        <v/>
      </c>
      <c r="F57" s="434"/>
      <c r="G57" s="413" t="str">
        <f>'REKAP RAPOR'!F54</f>
        <v/>
      </c>
      <c r="H57" s="416"/>
      <c r="I57" s="416"/>
      <c r="J57" s="414" t="str">
        <f t="shared" si="1"/>
        <v/>
      </c>
      <c r="K57" s="413" t="str">
        <f>'REKAP RAPOR'!G54</f>
        <v/>
      </c>
      <c r="L57" s="416"/>
      <c r="M57" s="416"/>
      <c r="N57" s="414" t="str">
        <f t="shared" si="2"/>
        <v/>
      </c>
      <c r="O57" s="413" t="str">
        <f>'REKAP RAPOR'!H54</f>
        <v/>
      </c>
      <c r="P57" s="416"/>
      <c r="Q57" s="416"/>
      <c r="R57" s="414" t="str">
        <f t="shared" si="3"/>
        <v/>
      </c>
      <c r="S57" s="413" t="str">
        <f>'REKAP RAPOR'!I54</f>
        <v/>
      </c>
      <c r="T57" s="416"/>
      <c r="U57" s="416"/>
      <c r="V57" s="414" t="str">
        <f t="shared" si="4"/>
        <v/>
      </c>
      <c r="W57" s="413" t="str">
        <f>'REKAP RAPOR'!J54</f>
        <v/>
      </c>
      <c r="X57" s="416"/>
      <c r="Y57" s="416"/>
      <c r="Z57" s="414" t="str">
        <f t="shared" si="5"/>
        <v/>
      </c>
      <c r="AA57" s="413" t="str">
        <f>'REKAP RAPOR'!K54</f>
        <v/>
      </c>
      <c r="AB57" s="416"/>
      <c r="AC57" s="416"/>
      <c r="AD57" s="414" t="str">
        <f t="shared" si="6"/>
        <v/>
      </c>
      <c r="AE57" s="413" t="str">
        <f>'REKAP RAPOR'!L54</f>
        <v/>
      </c>
      <c r="AF57" s="416"/>
      <c r="AG57" s="416"/>
      <c r="AH57" s="414" t="str">
        <f t="shared" si="7"/>
        <v/>
      </c>
      <c r="AI57" s="413" t="str">
        <f>'REKAP RAPOR'!M54</f>
        <v/>
      </c>
      <c r="AJ57" s="416"/>
      <c r="AK57" s="416"/>
      <c r="AL57" s="414" t="str">
        <f t="shared" si="8"/>
        <v/>
      </c>
      <c r="AM57" s="413" t="str">
        <f>'REKAP RAPOR'!N54</f>
        <v/>
      </c>
      <c r="AN57" s="416"/>
      <c r="AO57" s="416"/>
      <c r="AP57" s="414" t="str">
        <f t="shared" si="9"/>
        <v/>
      </c>
      <c r="AQ57" s="413" t="str">
        <f>'REKAP RAPOR'!O54</f>
        <v/>
      </c>
      <c r="AR57" s="416"/>
      <c r="AS57" s="416"/>
      <c r="AT57" s="414" t="str">
        <f t="shared" si="10"/>
        <v/>
      </c>
      <c r="AU57" s="413" t="str">
        <f>'REKAP RAPOR'!P54</f>
        <v/>
      </c>
      <c r="AV57" s="416"/>
      <c r="AW57" s="416"/>
      <c r="AX57" s="417" t="str">
        <f t="shared" si="11"/>
        <v/>
      </c>
      <c r="AY57" s="418" t="str">
        <f t="shared" si="12"/>
        <v/>
      </c>
      <c r="AZ57" s="396" t="str">
        <f t="shared" si="13"/>
        <v/>
      </c>
      <c r="BB57" s="35" t="str">
        <f t="shared" si="14"/>
        <v>Kosong</v>
      </c>
    </row>
    <row r="58" spans="2:54">
      <c r="B58" s="7">
        <v>48</v>
      </c>
      <c r="C58" s="7" t="str">
        <f>'Data Siswa'!C51&amp;""</f>
        <v/>
      </c>
      <c r="D58" s="25" t="str">
        <f>'Data Siswa'!E51&amp;""</f>
        <v/>
      </c>
      <c r="E58" s="11" t="str">
        <f>'Data Siswa'!F51&amp;""</f>
        <v/>
      </c>
      <c r="F58" s="434"/>
      <c r="G58" s="413" t="str">
        <f>'REKAP RAPOR'!F55</f>
        <v/>
      </c>
      <c r="H58" s="416"/>
      <c r="I58" s="416"/>
      <c r="J58" s="414" t="str">
        <f t="shared" si="1"/>
        <v/>
      </c>
      <c r="K58" s="413" t="str">
        <f>'REKAP RAPOR'!G55</f>
        <v/>
      </c>
      <c r="L58" s="416"/>
      <c r="M58" s="416"/>
      <c r="N58" s="414" t="str">
        <f t="shared" si="2"/>
        <v/>
      </c>
      <c r="O58" s="413" t="str">
        <f>'REKAP RAPOR'!H55</f>
        <v/>
      </c>
      <c r="P58" s="416"/>
      <c r="Q58" s="416"/>
      <c r="R58" s="414" t="str">
        <f t="shared" si="3"/>
        <v/>
      </c>
      <c r="S58" s="413" t="str">
        <f>'REKAP RAPOR'!I55</f>
        <v/>
      </c>
      <c r="T58" s="416"/>
      <c r="U58" s="416"/>
      <c r="V58" s="414" t="str">
        <f t="shared" si="4"/>
        <v/>
      </c>
      <c r="W58" s="413" t="str">
        <f>'REKAP RAPOR'!J55</f>
        <v/>
      </c>
      <c r="X58" s="416"/>
      <c r="Y58" s="416"/>
      <c r="Z58" s="414" t="str">
        <f t="shared" si="5"/>
        <v/>
      </c>
      <c r="AA58" s="413" t="str">
        <f>'REKAP RAPOR'!K55</f>
        <v/>
      </c>
      <c r="AB58" s="416"/>
      <c r="AC58" s="416"/>
      <c r="AD58" s="414" t="str">
        <f t="shared" si="6"/>
        <v/>
      </c>
      <c r="AE58" s="413" t="str">
        <f>'REKAP RAPOR'!L55</f>
        <v/>
      </c>
      <c r="AF58" s="416"/>
      <c r="AG58" s="416"/>
      <c r="AH58" s="414" t="str">
        <f t="shared" si="7"/>
        <v/>
      </c>
      <c r="AI58" s="413" t="str">
        <f>'REKAP RAPOR'!M55</f>
        <v/>
      </c>
      <c r="AJ58" s="416"/>
      <c r="AK58" s="416"/>
      <c r="AL58" s="414" t="str">
        <f t="shared" si="8"/>
        <v/>
      </c>
      <c r="AM58" s="413" t="str">
        <f>'REKAP RAPOR'!N55</f>
        <v/>
      </c>
      <c r="AN58" s="416"/>
      <c r="AO58" s="416"/>
      <c r="AP58" s="414" t="str">
        <f t="shared" si="9"/>
        <v/>
      </c>
      <c r="AQ58" s="413" t="str">
        <f>'REKAP RAPOR'!O55</f>
        <v/>
      </c>
      <c r="AR58" s="416"/>
      <c r="AS58" s="416"/>
      <c r="AT58" s="414" t="str">
        <f t="shared" si="10"/>
        <v/>
      </c>
      <c r="AU58" s="413" t="str">
        <f>'REKAP RAPOR'!P55</f>
        <v/>
      </c>
      <c r="AV58" s="416"/>
      <c r="AW58" s="416"/>
      <c r="AX58" s="417" t="str">
        <f t="shared" si="11"/>
        <v/>
      </c>
      <c r="AY58" s="418" t="str">
        <f t="shared" si="12"/>
        <v/>
      </c>
      <c r="AZ58" s="396" t="str">
        <f t="shared" si="13"/>
        <v/>
      </c>
      <c r="BB58" s="35" t="str">
        <f t="shared" si="14"/>
        <v>Kosong</v>
      </c>
    </row>
    <row r="59" spans="2:54">
      <c r="B59" s="7">
        <v>49</v>
      </c>
      <c r="C59" s="7" t="str">
        <f>'Data Siswa'!C52&amp;""</f>
        <v/>
      </c>
      <c r="D59" s="25" t="str">
        <f>'Data Siswa'!E52&amp;""</f>
        <v/>
      </c>
      <c r="E59" s="11" t="str">
        <f>'Data Siswa'!F52&amp;""</f>
        <v/>
      </c>
      <c r="F59" s="434"/>
      <c r="G59" s="413" t="str">
        <f>'REKAP RAPOR'!F56</f>
        <v/>
      </c>
      <c r="H59" s="416"/>
      <c r="I59" s="416"/>
      <c r="J59" s="414" t="str">
        <f t="shared" si="1"/>
        <v/>
      </c>
      <c r="K59" s="413" t="str">
        <f>'REKAP RAPOR'!G56</f>
        <v/>
      </c>
      <c r="L59" s="416"/>
      <c r="M59" s="416"/>
      <c r="N59" s="414" t="str">
        <f t="shared" si="2"/>
        <v/>
      </c>
      <c r="O59" s="413" t="str">
        <f>'REKAP RAPOR'!H56</f>
        <v/>
      </c>
      <c r="P59" s="416"/>
      <c r="Q59" s="416"/>
      <c r="R59" s="414" t="str">
        <f t="shared" si="3"/>
        <v/>
      </c>
      <c r="S59" s="413" t="str">
        <f>'REKAP RAPOR'!I56</f>
        <v/>
      </c>
      <c r="T59" s="416"/>
      <c r="U59" s="416"/>
      <c r="V59" s="414" t="str">
        <f t="shared" si="4"/>
        <v/>
      </c>
      <c r="W59" s="413" t="str">
        <f>'REKAP RAPOR'!J56</f>
        <v/>
      </c>
      <c r="X59" s="416"/>
      <c r="Y59" s="416"/>
      <c r="Z59" s="414" t="str">
        <f t="shared" si="5"/>
        <v/>
      </c>
      <c r="AA59" s="413" t="str">
        <f>'REKAP RAPOR'!K56</f>
        <v/>
      </c>
      <c r="AB59" s="416"/>
      <c r="AC59" s="416"/>
      <c r="AD59" s="414" t="str">
        <f t="shared" si="6"/>
        <v/>
      </c>
      <c r="AE59" s="413" t="str">
        <f>'REKAP RAPOR'!L56</f>
        <v/>
      </c>
      <c r="AF59" s="416"/>
      <c r="AG59" s="416"/>
      <c r="AH59" s="414" t="str">
        <f t="shared" si="7"/>
        <v/>
      </c>
      <c r="AI59" s="413" t="str">
        <f>'REKAP RAPOR'!M56</f>
        <v/>
      </c>
      <c r="AJ59" s="416"/>
      <c r="AK59" s="416"/>
      <c r="AL59" s="414" t="str">
        <f t="shared" si="8"/>
        <v/>
      </c>
      <c r="AM59" s="413" t="str">
        <f>'REKAP RAPOR'!N56</f>
        <v/>
      </c>
      <c r="AN59" s="416"/>
      <c r="AO59" s="416"/>
      <c r="AP59" s="414" t="str">
        <f t="shared" si="9"/>
        <v/>
      </c>
      <c r="AQ59" s="413" t="str">
        <f>'REKAP RAPOR'!O56</f>
        <v/>
      </c>
      <c r="AR59" s="416"/>
      <c r="AS59" s="416"/>
      <c r="AT59" s="414" t="str">
        <f t="shared" si="10"/>
        <v/>
      </c>
      <c r="AU59" s="413" t="str">
        <f>'REKAP RAPOR'!P56</f>
        <v/>
      </c>
      <c r="AV59" s="416"/>
      <c r="AW59" s="416"/>
      <c r="AX59" s="417" t="str">
        <f t="shared" si="11"/>
        <v/>
      </c>
      <c r="AY59" s="418" t="str">
        <f t="shared" si="12"/>
        <v/>
      </c>
      <c r="AZ59" s="396" t="str">
        <f t="shared" si="13"/>
        <v/>
      </c>
      <c r="BB59" s="35" t="str">
        <f t="shared" si="14"/>
        <v>Kosong</v>
      </c>
    </row>
    <row r="60" spans="2:54">
      <c r="B60" s="7">
        <v>50</v>
      </c>
      <c r="C60" s="7" t="str">
        <f>'Data Siswa'!C53&amp;""</f>
        <v/>
      </c>
      <c r="D60" s="25" t="str">
        <f>'Data Siswa'!E53&amp;""</f>
        <v/>
      </c>
      <c r="E60" s="11" t="str">
        <f>'Data Siswa'!F53&amp;""</f>
        <v/>
      </c>
      <c r="F60" s="435"/>
      <c r="G60" s="413" t="str">
        <f>'REKAP RAPOR'!F57</f>
        <v/>
      </c>
      <c r="H60" s="416"/>
      <c r="I60" s="416"/>
      <c r="J60" s="414" t="str">
        <f t="shared" si="1"/>
        <v/>
      </c>
      <c r="K60" s="413" t="str">
        <f>'REKAP RAPOR'!G57</f>
        <v/>
      </c>
      <c r="L60" s="416"/>
      <c r="M60" s="416"/>
      <c r="N60" s="414" t="str">
        <f t="shared" si="2"/>
        <v/>
      </c>
      <c r="O60" s="413" t="str">
        <f>'REKAP RAPOR'!H57</f>
        <v/>
      </c>
      <c r="P60" s="416"/>
      <c r="Q60" s="416"/>
      <c r="R60" s="414" t="str">
        <f t="shared" si="3"/>
        <v/>
      </c>
      <c r="S60" s="413" t="str">
        <f>'REKAP RAPOR'!I57</f>
        <v/>
      </c>
      <c r="T60" s="416"/>
      <c r="U60" s="416"/>
      <c r="V60" s="414" t="str">
        <f t="shared" si="4"/>
        <v/>
      </c>
      <c r="W60" s="413" t="str">
        <f>'REKAP RAPOR'!J57</f>
        <v/>
      </c>
      <c r="X60" s="416"/>
      <c r="Y60" s="416"/>
      <c r="Z60" s="414" t="str">
        <f t="shared" si="5"/>
        <v/>
      </c>
      <c r="AA60" s="413" t="str">
        <f>'REKAP RAPOR'!K57</f>
        <v/>
      </c>
      <c r="AB60" s="416"/>
      <c r="AC60" s="416"/>
      <c r="AD60" s="414" t="str">
        <f t="shared" si="6"/>
        <v/>
      </c>
      <c r="AE60" s="413" t="str">
        <f>'REKAP RAPOR'!L57</f>
        <v/>
      </c>
      <c r="AF60" s="416"/>
      <c r="AG60" s="416"/>
      <c r="AH60" s="414" t="str">
        <f t="shared" si="7"/>
        <v/>
      </c>
      <c r="AI60" s="413" t="str">
        <f>'REKAP RAPOR'!M57</f>
        <v/>
      </c>
      <c r="AJ60" s="416"/>
      <c r="AK60" s="416"/>
      <c r="AL60" s="414" t="str">
        <f t="shared" si="8"/>
        <v/>
      </c>
      <c r="AM60" s="413" t="str">
        <f>'REKAP RAPOR'!N57</f>
        <v/>
      </c>
      <c r="AN60" s="416"/>
      <c r="AO60" s="416"/>
      <c r="AP60" s="414" t="str">
        <f t="shared" si="9"/>
        <v/>
      </c>
      <c r="AQ60" s="413" t="str">
        <f>'REKAP RAPOR'!O57</f>
        <v/>
      </c>
      <c r="AR60" s="416"/>
      <c r="AS60" s="416"/>
      <c r="AT60" s="414" t="str">
        <f t="shared" si="10"/>
        <v/>
      </c>
      <c r="AU60" s="413" t="str">
        <f>'REKAP RAPOR'!P57</f>
        <v/>
      </c>
      <c r="AV60" s="416"/>
      <c r="AW60" s="416"/>
      <c r="AX60" s="417" t="str">
        <f t="shared" si="11"/>
        <v/>
      </c>
      <c r="AY60" s="418" t="str">
        <f t="shared" si="12"/>
        <v/>
      </c>
      <c r="AZ60" s="396" t="str">
        <f t="shared" si="13"/>
        <v/>
      </c>
      <c r="BB60" s="35" t="str">
        <f t="shared" si="14"/>
        <v>Kosong</v>
      </c>
    </row>
    <row r="62" spans="2:54">
      <c r="AN62" s="1" t="str">
        <f>Kabupaten&amp;", "&amp;TEXT(Tanggal,"DD MMMM YYYY")</f>
        <v>Wonogiri, 15 Juni 2022</v>
      </c>
    </row>
    <row r="63" spans="2:54">
      <c r="AN63" s="1" t="str">
        <f>"Kepala"&amp;" "&amp;Nama_Sekolah</f>
        <v>Kepala Sekolah Dasar Negeri 1 Giriharjo</v>
      </c>
    </row>
    <row r="67" spans="2:43">
      <c r="AN67" s="37">
        <f>Kepsek</f>
        <v>0</v>
      </c>
      <c r="AO67" s="37"/>
      <c r="AP67" s="37"/>
      <c r="AQ67" s="37"/>
    </row>
    <row r="68" spans="2:43">
      <c r="AN68" s="36">
        <f>NIP_Kepsek</f>
        <v>0</v>
      </c>
      <c r="AO68" s="36"/>
      <c r="AP68" s="36"/>
      <c r="AQ68" s="36"/>
    </row>
    <row r="70" spans="2:43">
      <c r="B70" s="192" t="s">
        <v>134</v>
      </c>
    </row>
  </sheetData>
  <sheetProtection password="CC5B" sheet="1" objects="1" scenarios="1" formatCells="0" formatColumns="0" autoFilter="0"/>
  <autoFilter ref="BB10:BB60"/>
  <mergeCells count="30">
    <mergeCell ref="F11:F60"/>
    <mergeCell ref="F8:F9"/>
    <mergeCell ref="G8:J8"/>
    <mergeCell ref="G7:J7"/>
    <mergeCell ref="O8:R8"/>
    <mergeCell ref="O7:R7"/>
    <mergeCell ref="AQ7:AT7"/>
    <mergeCell ref="AQ8:AT8"/>
    <mergeCell ref="AE7:AH7"/>
    <mergeCell ref="AE8:AH8"/>
    <mergeCell ref="B1:AZ1"/>
    <mergeCell ref="B7:B9"/>
    <mergeCell ref="C7:C9"/>
    <mergeCell ref="E7:E9"/>
    <mergeCell ref="AY7:AY9"/>
    <mergeCell ref="AZ7:AZ9"/>
    <mergeCell ref="AU7:AX7"/>
    <mergeCell ref="AU8:AX8"/>
    <mergeCell ref="K8:N8"/>
    <mergeCell ref="K7:N7"/>
    <mergeCell ref="S7:V7"/>
    <mergeCell ref="S8:V8"/>
    <mergeCell ref="W7:Z7"/>
    <mergeCell ref="W8:Z8"/>
    <mergeCell ref="AI7:AL7"/>
    <mergeCell ref="AI8:AL8"/>
    <mergeCell ref="AM7:AP7"/>
    <mergeCell ref="AM8:AP8"/>
    <mergeCell ref="AA7:AD7"/>
    <mergeCell ref="AA8:AD8"/>
  </mergeCells>
  <dataValidations count="1">
    <dataValidation type="decimal" allowBlank="1" showInputMessage="1" showErrorMessage="1" error="LIHAT PENGATURAN NILAI !" sqref="AQ7 G7 K7 O7 S7 W7 AA7 AE7 AI7 AM7 AV11:AX60 AR11:AT60 G11:AP60">
      <formula1>$BG$13</formula1>
      <formula2>$BG$14</formula2>
    </dataValidation>
  </dataValidations>
  <pageMargins left="0.51181102362204722" right="0.11811023622047245" top="0.55118110236220474" bottom="0.35433070866141736" header="0.31496062992125984" footer="0.31496062992125984"/>
  <pageSetup paperSize="141" scale="5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AG70"/>
  <sheetViews>
    <sheetView showGridLines="0" zoomScale="90" zoomScaleNormal="90" workbookViewId="0">
      <selection activeCell="M18" sqref="M18"/>
    </sheetView>
  </sheetViews>
  <sheetFormatPr defaultColWidth="0" defaultRowHeight="14.5"/>
  <cols>
    <col min="1" max="1" width="3.7265625" style="9" customWidth="1"/>
    <col min="2" max="2" width="5.26953125" style="9" customWidth="1"/>
    <col min="3" max="3" width="10.54296875" style="9" customWidth="1"/>
    <col min="4" max="4" width="38.26953125" style="9" customWidth="1"/>
    <col min="5" max="5" width="6.81640625" style="9" customWidth="1"/>
    <col min="6" max="6" width="8.453125" style="9" customWidth="1"/>
    <col min="7" max="13" width="6.7265625" style="9" customWidth="1"/>
    <col min="14" max="15" width="8.453125" style="9" customWidth="1"/>
    <col min="16" max="16" width="9" style="9" customWidth="1"/>
    <col min="17" max="19" width="8.453125" style="9" customWidth="1"/>
    <col min="20" max="20" width="10.26953125" style="9" customWidth="1"/>
    <col min="21" max="21" width="2.81640625" style="9" customWidth="1"/>
    <col min="22" max="22" width="8.453125" style="9" customWidth="1"/>
    <col min="23" max="23" width="3.26953125" style="9" customWidth="1"/>
    <col min="24" max="24" width="2.1796875" style="9" hidden="1" customWidth="1"/>
    <col min="25" max="25" width="9.1796875" style="9" hidden="1" customWidth="1"/>
    <col min="26" max="26" width="11.26953125" style="9" hidden="1" customWidth="1"/>
    <col min="27" max="28" width="9.1796875" style="9" hidden="1" customWidth="1"/>
    <col min="29" max="33" width="9.1796875" style="1" hidden="1" customWidth="1"/>
    <col min="34" max="16384" width="9.1796875" style="9" hidden="1"/>
  </cols>
  <sheetData>
    <row r="1" spans="2:32" ht="20">
      <c r="B1" s="547" t="s">
        <v>203</v>
      </c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217"/>
      <c r="T1" s="254"/>
    </row>
    <row r="2" spans="2:32" ht="15" customHeight="1"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2:32" ht="15" customHeight="1">
      <c r="D3" s="61" t="s">
        <v>13</v>
      </c>
      <c r="E3" s="61"/>
      <c r="F3" s="62" t="s">
        <v>67</v>
      </c>
      <c r="G3" s="63" t="str">
        <f>UPPER(Nama_Sekolah)</f>
        <v>SEKOLAH DASAR NEGERI 1 GIRIHARJO</v>
      </c>
      <c r="H3" s="64"/>
      <c r="I3" s="64"/>
      <c r="J3" s="64"/>
    </row>
    <row r="4" spans="2:32">
      <c r="D4" s="61" t="s">
        <v>14</v>
      </c>
      <c r="E4" s="61"/>
      <c r="F4" s="62" t="s">
        <v>67</v>
      </c>
      <c r="G4" s="63" t="str">
        <f>NPSN</f>
        <v>20311583</v>
      </c>
      <c r="H4" s="64"/>
      <c r="I4" s="64"/>
      <c r="J4" s="64"/>
    </row>
    <row r="5" spans="2:32">
      <c r="D5" s="61" t="s">
        <v>68</v>
      </c>
      <c r="E5" s="61"/>
      <c r="F5" s="62" t="s">
        <v>67</v>
      </c>
      <c r="G5" s="63" t="str">
        <f>Kecamatan&amp;", "&amp;Kabupaten&amp;", "&amp;Provinsi</f>
        <v>Puhpelem, Wonogiri, Jawa Tengah</v>
      </c>
      <c r="H5" s="64"/>
      <c r="I5" s="64"/>
      <c r="J5" s="64"/>
    </row>
    <row r="6" spans="2:32" ht="9" customHeight="1">
      <c r="D6" s="65"/>
      <c r="E6" s="65"/>
      <c r="F6" s="66"/>
      <c r="G6" s="67"/>
    </row>
    <row r="7" spans="2:32" ht="17.25" customHeight="1">
      <c r="B7" s="478" t="s">
        <v>7</v>
      </c>
      <c r="C7" s="478" t="s">
        <v>43</v>
      </c>
      <c r="D7" s="478" t="s">
        <v>8</v>
      </c>
      <c r="E7" s="240" t="s">
        <v>66</v>
      </c>
      <c r="F7" s="241">
        <f>PENGATURAN!G5/Sat</f>
        <v>71</v>
      </c>
      <c r="G7" s="242">
        <f>PENGATURAN!G6/Sat</f>
        <v>71</v>
      </c>
      <c r="H7" s="243">
        <f>PENGATURAN!G7/Sat</f>
        <v>60</v>
      </c>
      <c r="I7" s="242">
        <f>PENGATURAN!G8/Sat</f>
        <v>60</v>
      </c>
      <c r="J7" s="243">
        <f>PENGATURAN!G9/Sat</f>
        <v>60</v>
      </c>
      <c r="K7" s="242">
        <f>PENGATURAN!G10/Sat</f>
        <v>71</v>
      </c>
      <c r="L7" s="243">
        <f>PENGATURAN!G11/Sat</f>
        <v>71</v>
      </c>
      <c r="M7" s="243">
        <f>PENGATURAN!G12/Sat</f>
        <v>71</v>
      </c>
      <c r="N7" s="243">
        <f>PENGATURAN!G16/Sat</f>
        <v>71</v>
      </c>
      <c r="O7" s="243">
        <f>PENGATURAN!G17/Sat</f>
        <v>0</v>
      </c>
      <c r="P7" s="243">
        <f>PENGATURAN!G18/Sat</f>
        <v>0</v>
      </c>
      <c r="Q7" s="478" t="s">
        <v>9</v>
      </c>
      <c r="R7" s="478" t="s">
        <v>10</v>
      </c>
      <c r="S7" s="478" t="s">
        <v>137</v>
      </c>
      <c r="T7" s="478" t="s">
        <v>194</v>
      </c>
    </row>
    <row r="8" spans="2:32" ht="15" thickBot="1">
      <c r="B8" s="545"/>
      <c r="C8" s="545"/>
      <c r="D8" s="545"/>
      <c r="E8" s="230" t="s">
        <v>69</v>
      </c>
      <c r="F8" s="231" t="str">
        <f>PENGATURAN!$F5</f>
        <v>Agama</v>
      </c>
      <c r="G8" s="231" t="str">
        <f>PENGATURAN!$F6</f>
        <v>PKn</v>
      </c>
      <c r="H8" s="231" t="str">
        <f>PENGATURAN!$F7</f>
        <v>B. Ind.</v>
      </c>
      <c r="I8" s="231" t="str">
        <f>PENGATURAN!$F8</f>
        <v>MTK</v>
      </c>
      <c r="J8" s="231" t="str">
        <f>PENGATURAN!$F9</f>
        <v>IPA</v>
      </c>
      <c r="K8" s="231" t="str">
        <f>PENGATURAN!$F10</f>
        <v xml:space="preserve">IPS </v>
      </c>
      <c r="L8" s="231" t="str">
        <f>PENGATURAN!$F11</f>
        <v>SBdP</v>
      </c>
      <c r="M8" s="231" t="str">
        <f>PENGATURAN!$F12</f>
        <v>PJOK</v>
      </c>
      <c r="N8" s="231" t="str">
        <f>PENGATURAN!$F16</f>
        <v>Bahasa Jawa</v>
      </c>
      <c r="O8" s="231">
        <f>PENGATURAN!$F17</f>
        <v>0</v>
      </c>
      <c r="P8" s="231">
        <f>PENGATURAN!$F18</f>
        <v>0</v>
      </c>
      <c r="Q8" s="545"/>
      <c r="R8" s="545"/>
      <c r="S8" s="545"/>
      <c r="T8" s="545"/>
      <c r="V8" s="68" t="s">
        <v>71</v>
      </c>
    </row>
    <row r="9" spans="2:32" ht="15" thickTop="1">
      <c r="B9" s="232">
        <v>1</v>
      </c>
      <c r="C9" s="232" t="str">
        <f>'Data Siswa'!C4&amp;""</f>
        <v>2887</v>
      </c>
      <c r="D9" s="233" t="str">
        <f>'Data Siswa'!F4&amp;""</f>
        <v/>
      </c>
      <c r="E9" s="546"/>
      <c r="F9" s="419">
        <f>IFERROR(ROUND(USD!J11/Sat,Digit),"")</f>
        <v>91.2</v>
      </c>
      <c r="G9" s="419">
        <f>IFERROR(ROUND(USD!N11/Sat,Digit),"")</f>
        <v>89.8</v>
      </c>
      <c r="H9" s="419">
        <f>IFERROR(ROUND(USD!R11/Sat,Digit),"")</f>
        <v>88.55</v>
      </c>
      <c r="I9" s="419">
        <f>IFERROR(ROUND(USD!V11/Sat,Digit),"")</f>
        <v>89.25</v>
      </c>
      <c r="J9" s="419">
        <f>IFERROR(ROUND(USD!Z11/Sat,Digit),"")</f>
        <v>89.95</v>
      </c>
      <c r="K9" s="419">
        <f>IFERROR(ROUND(USD!AD11/Sat,Digit),"")</f>
        <v>88.8</v>
      </c>
      <c r="L9" s="419">
        <f>IFERROR(ROUND(USD!AH11/Sat,Digit),"")</f>
        <v>85.2</v>
      </c>
      <c r="M9" s="419">
        <f>IFERROR(ROUND(USD!AL11/Sat,Digit),"")</f>
        <v>87.2</v>
      </c>
      <c r="N9" s="419">
        <f>IFERROR(ROUND(USD!AP11/Sat,Digit),"")</f>
        <v>84.7</v>
      </c>
      <c r="O9" s="419" t="str">
        <f>IFERROR(ROUND(USD!AT11/Sat,Digit),"")</f>
        <v/>
      </c>
      <c r="P9" s="419" t="str">
        <f>IFERROR(ROUND(USD!AX11/Sat,Digit),"")</f>
        <v/>
      </c>
      <c r="Q9" s="234">
        <f t="shared" ref="Q9:Q40" si="0">IF(SUM(F9:P9)=0,"",SUM(F9:P9))</f>
        <v>794.65000000000009</v>
      </c>
      <c r="R9" s="423">
        <f t="shared" ref="R9:R40" si="1">IFERROR(ROUND(AVERAGE(F9:P9)/Sat,Digit_rata_rapor),"")</f>
        <v>88.29</v>
      </c>
      <c r="S9" s="239">
        <f>IFERROR(RANK(R9,$R$9:$R$58,0),"")</f>
        <v>4</v>
      </c>
      <c r="T9" s="292" t="str">
        <f>IF(D9="","",IF(AND(F9&gt;=$F$7,G9&gt;=$G$7,H9&gt;=$H$7,I9&gt;=$I$7,J9&gt;=$J$7,K9&gt;=$K$7,L9&gt;=$L$7,M9&gt;=$M$7,N9&gt;=$N$7,O9&gt;$O$7,P9&gt;=$P$7),"LULUS","TIDAK"))</f>
        <v/>
      </c>
      <c r="U9" s="70"/>
      <c r="V9" s="71" t="str">
        <f>IF(D9="","Kosong","Data")</f>
        <v>Kosong</v>
      </c>
      <c r="AD9" s="2" t="str">
        <f>'Data Siswa'!G4</f>
        <v>P</v>
      </c>
      <c r="AE9" s="2" t="str">
        <f>IF(T9=$Z$16,AD9,"")</f>
        <v/>
      </c>
      <c r="AF9" s="2" t="str">
        <f>IF(T9=$Z$17,AD9,"")</f>
        <v/>
      </c>
    </row>
    <row r="10" spans="2:32">
      <c r="B10" s="236">
        <v>2</v>
      </c>
      <c r="C10" s="236" t="str">
        <f>'Data Siswa'!C5&amp;""</f>
        <v>2888</v>
      </c>
      <c r="D10" s="237" t="str">
        <f>'Data Siswa'!F5&amp;""</f>
        <v/>
      </c>
      <c r="E10" s="475"/>
      <c r="F10" s="401">
        <f>IFERROR(ROUND(USD!J12/Sat,Digit),"")</f>
        <v>78.7</v>
      </c>
      <c r="G10" s="401">
        <f>IFERROR(ROUND(USD!N12/Sat,Digit),"")</f>
        <v>77.95</v>
      </c>
      <c r="H10" s="401">
        <f>IFERROR(ROUND(USD!R12/Sat,Digit),"")</f>
        <v>75.05</v>
      </c>
      <c r="I10" s="401">
        <f>IFERROR(ROUND(USD!V12/Sat,Digit),"")</f>
        <v>68.2</v>
      </c>
      <c r="J10" s="401">
        <f>IFERROR(ROUND(USD!Z12/Sat,Digit),"")</f>
        <v>72.400000000000006</v>
      </c>
      <c r="K10" s="401">
        <f>IFERROR(ROUND(USD!AD12/Sat,Digit),"")</f>
        <v>75.95</v>
      </c>
      <c r="L10" s="401">
        <f>IFERROR(ROUND(USD!AH12/Sat,Digit),"")</f>
        <v>78.5</v>
      </c>
      <c r="M10" s="401">
        <f>IFERROR(ROUND(USD!AL12/Sat,Digit),"")</f>
        <v>79</v>
      </c>
      <c r="N10" s="401">
        <f>IFERROR(ROUND(USD!AP12/Sat,Digit),"")</f>
        <v>75.900000000000006</v>
      </c>
      <c r="O10" s="401" t="str">
        <f>IFERROR(ROUND(USD!AT12/Sat,Digit),"")</f>
        <v/>
      </c>
      <c r="P10" s="401" t="str">
        <f>IFERROR(ROUND(USD!AX12/Sat,Digit),"")</f>
        <v/>
      </c>
      <c r="Q10" s="238">
        <f t="shared" si="0"/>
        <v>681.65</v>
      </c>
      <c r="R10" s="423">
        <f t="shared" si="1"/>
        <v>75.739999999999995</v>
      </c>
      <c r="S10" s="239">
        <f t="shared" ref="S10:S58" si="2">IFERROR(RANK(R10,$R$9:$R$58,0),"")</f>
        <v>21</v>
      </c>
      <c r="T10" s="292" t="str">
        <f t="shared" ref="T10:T58" si="3">IF(D10="","",IF(AND(F10&gt;=$F$7,G10&gt;=$G$7,H10&gt;=$H$7,I10&gt;=$I$7,J10&gt;=$J$7,K10&gt;=$K$7,L10&gt;=$L$7,M10&gt;=$M$7,N10&gt;=$N$7,O10&gt;$O$7,P10&gt;=$P$7),"LULUS","TIDAK"))</f>
        <v/>
      </c>
      <c r="V10" s="71" t="str">
        <f t="shared" ref="V10:V58" si="4">IF(D10="","Kosong","Data")</f>
        <v>Kosong</v>
      </c>
      <c r="AD10" s="2" t="str">
        <f>'Data Siswa'!G5</f>
        <v>L</v>
      </c>
      <c r="AE10" s="2" t="str">
        <f t="shared" ref="AE10:AE58" si="5">IF(T10=$Z$16,AD10,"")</f>
        <v/>
      </c>
      <c r="AF10" s="2" t="str">
        <f t="shared" ref="AF10:AF58" si="6">IF(T10=$Z$17,AD10,"")</f>
        <v/>
      </c>
    </row>
    <row r="11" spans="2:32">
      <c r="B11" s="236">
        <v>3</v>
      </c>
      <c r="C11" s="236" t="str">
        <f>'Data Siswa'!C6&amp;""</f>
        <v>2886</v>
      </c>
      <c r="D11" s="237" t="str">
        <f>'Data Siswa'!F6&amp;""</f>
        <v/>
      </c>
      <c r="E11" s="475"/>
      <c r="F11" s="401">
        <f>IFERROR(ROUND(USD!J13/Sat,Digit),"")</f>
        <v>85.1</v>
      </c>
      <c r="G11" s="401">
        <f>IFERROR(ROUND(USD!N13/Sat,Digit),"")</f>
        <v>83.55</v>
      </c>
      <c r="H11" s="401">
        <f>IFERROR(ROUND(USD!R13/Sat,Digit),"")</f>
        <v>84.8</v>
      </c>
      <c r="I11" s="401">
        <f>IFERROR(ROUND(USD!V13/Sat,Digit),"")</f>
        <v>73.099999999999994</v>
      </c>
      <c r="J11" s="401">
        <f>IFERROR(ROUND(USD!Z13/Sat,Digit),"")</f>
        <v>77.099999999999994</v>
      </c>
      <c r="K11" s="401">
        <f>IFERROR(ROUND(USD!AD13/Sat,Digit),"")</f>
        <v>81.2</v>
      </c>
      <c r="L11" s="401">
        <f>IFERROR(ROUND(USD!AH13/Sat,Digit),"")</f>
        <v>80.900000000000006</v>
      </c>
      <c r="M11" s="401">
        <f>IFERROR(ROUND(USD!AL13/Sat,Digit),"")</f>
        <v>80.3</v>
      </c>
      <c r="N11" s="401">
        <f>IFERROR(ROUND(USD!AP13/Sat,Digit),"")</f>
        <v>79.3</v>
      </c>
      <c r="O11" s="401" t="str">
        <f>IFERROR(ROUND(USD!AT13/Sat,Digit),"")</f>
        <v/>
      </c>
      <c r="P11" s="401" t="str">
        <f>IFERROR(ROUND(USD!AX13/Sat,Digit),"")</f>
        <v/>
      </c>
      <c r="Q11" s="238">
        <f t="shared" si="0"/>
        <v>725.34999999999991</v>
      </c>
      <c r="R11" s="423">
        <f t="shared" si="1"/>
        <v>80.59</v>
      </c>
      <c r="S11" s="239">
        <f t="shared" si="2"/>
        <v>12</v>
      </c>
      <c r="T11" s="292" t="str">
        <f t="shared" si="3"/>
        <v/>
      </c>
      <c r="V11" s="71" t="str">
        <f t="shared" si="4"/>
        <v>Kosong</v>
      </c>
      <c r="AD11" s="2" t="str">
        <f>'Data Siswa'!G6</f>
        <v>P</v>
      </c>
      <c r="AE11" s="2" t="str">
        <f t="shared" si="5"/>
        <v/>
      </c>
      <c r="AF11" s="2" t="str">
        <f t="shared" si="6"/>
        <v/>
      </c>
    </row>
    <row r="12" spans="2:32">
      <c r="B12" s="236">
        <v>4</v>
      </c>
      <c r="C12" s="236" t="str">
        <f>'Data Siswa'!C7&amp;""</f>
        <v>2864</v>
      </c>
      <c r="D12" s="237" t="str">
        <f>'Data Siswa'!F7&amp;""</f>
        <v/>
      </c>
      <c r="E12" s="475"/>
      <c r="F12" s="401">
        <f>IFERROR(ROUND(USD!J14/Sat,Digit),"")</f>
        <v>79.2</v>
      </c>
      <c r="G12" s="401">
        <f>IFERROR(ROUND(USD!N14/Sat,Digit),"")</f>
        <v>78.7</v>
      </c>
      <c r="H12" s="401">
        <f>IFERROR(ROUND(USD!R14/Sat,Digit),"")</f>
        <v>77.650000000000006</v>
      </c>
      <c r="I12" s="401">
        <f>IFERROR(ROUND(USD!V14/Sat,Digit),"")</f>
        <v>66</v>
      </c>
      <c r="J12" s="401">
        <f>IFERROR(ROUND(USD!Z14/Sat,Digit),"")</f>
        <v>73.650000000000006</v>
      </c>
      <c r="K12" s="401">
        <f>IFERROR(ROUND(USD!AD14/Sat,Digit),"")</f>
        <v>78.099999999999994</v>
      </c>
      <c r="L12" s="401">
        <f>IFERROR(ROUND(USD!AH14/Sat,Digit),"")</f>
        <v>79.099999999999994</v>
      </c>
      <c r="M12" s="401">
        <f>IFERROR(ROUND(USD!AL14/Sat,Digit),"")</f>
        <v>79.900000000000006</v>
      </c>
      <c r="N12" s="401">
        <f>IFERROR(ROUND(USD!AP14/Sat,Digit),"")</f>
        <v>76.400000000000006</v>
      </c>
      <c r="O12" s="401" t="str">
        <f>IFERROR(ROUND(USD!AT14/Sat,Digit),"")</f>
        <v/>
      </c>
      <c r="P12" s="401" t="str">
        <f>IFERROR(ROUND(USD!AX14/Sat,Digit),"")</f>
        <v/>
      </c>
      <c r="Q12" s="238">
        <f t="shared" si="0"/>
        <v>688.7</v>
      </c>
      <c r="R12" s="423">
        <f t="shared" si="1"/>
        <v>76.52</v>
      </c>
      <c r="S12" s="239">
        <f t="shared" si="2"/>
        <v>20</v>
      </c>
      <c r="T12" s="292" t="str">
        <f t="shared" si="3"/>
        <v/>
      </c>
      <c r="V12" s="71" t="str">
        <f t="shared" si="4"/>
        <v>Kosong</v>
      </c>
      <c r="AD12" s="2" t="str">
        <f>'Data Siswa'!G7</f>
        <v>L</v>
      </c>
      <c r="AE12" s="2" t="str">
        <f t="shared" si="5"/>
        <v/>
      </c>
      <c r="AF12" s="2" t="str">
        <f t="shared" si="6"/>
        <v/>
      </c>
    </row>
    <row r="13" spans="2:32">
      <c r="B13" s="236">
        <v>5</v>
      </c>
      <c r="C13" s="236" t="str">
        <f>'Data Siswa'!C8&amp;""</f>
        <v>2890</v>
      </c>
      <c r="D13" s="237" t="str">
        <f>'Data Siswa'!F8&amp;""</f>
        <v/>
      </c>
      <c r="E13" s="475"/>
      <c r="F13" s="401">
        <f>IFERROR(ROUND(USD!J15/Sat,Digit),"")</f>
        <v>83</v>
      </c>
      <c r="G13" s="401">
        <f>IFERROR(ROUND(USD!N15/Sat,Digit),"")</f>
        <v>80.5</v>
      </c>
      <c r="H13" s="401">
        <f>IFERROR(ROUND(USD!R15/Sat,Digit),"")</f>
        <v>81.849999999999994</v>
      </c>
      <c r="I13" s="401">
        <f>IFERROR(ROUND(USD!V15/Sat,Digit),"")</f>
        <v>70.3</v>
      </c>
      <c r="J13" s="401">
        <f>IFERROR(ROUND(USD!Z15/Sat,Digit),"")</f>
        <v>79.900000000000006</v>
      </c>
      <c r="K13" s="401">
        <f>IFERROR(ROUND(USD!AD15/Sat,Digit),"")</f>
        <v>78.849999999999994</v>
      </c>
      <c r="L13" s="401">
        <f>IFERROR(ROUND(USD!AH15/Sat,Digit),"")</f>
        <v>81.5</v>
      </c>
      <c r="M13" s="401">
        <f>IFERROR(ROUND(USD!AL15/Sat,Digit),"")</f>
        <v>82.4</v>
      </c>
      <c r="N13" s="401">
        <f>IFERROR(ROUND(USD!AP15/Sat,Digit),"")</f>
        <v>78.7</v>
      </c>
      <c r="O13" s="401" t="str">
        <f>IFERROR(ROUND(USD!AT15/Sat,Digit),"")</f>
        <v/>
      </c>
      <c r="P13" s="401" t="str">
        <f>IFERROR(ROUND(USD!AX15/Sat,Digit),"")</f>
        <v/>
      </c>
      <c r="Q13" s="238">
        <f t="shared" si="0"/>
        <v>717</v>
      </c>
      <c r="R13" s="423">
        <f t="shared" si="1"/>
        <v>79.67</v>
      </c>
      <c r="S13" s="239">
        <f t="shared" si="2"/>
        <v>16</v>
      </c>
      <c r="T13" s="292" t="str">
        <f t="shared" si="3"/>
        <v/>
      </c>
      <c r="V13" s="71" t="str">
        <f t="shared" si="4"/>
        <v>Kosong</v>
      </c>
      <c r="AD13" s="2" t="str">
        <f>'Data Siswa'!G8</f>
        <v>P</v>
      </c>
      <c r="AE13" s="2" t="str">
        <f t="shared" si="5"/>
        <v/>
      </c>
      <c r="AF13" s="2" t="str">
        <f t="shared" si="6"/>
        <v/>
      </c>
    </row>
    <row r="14" spans="2:32">
      <c r="B14" s="236">
        <v>6</v>
      </c>
      <c r="C14" s="236" t="str">
        <f>'Data Siswa'!C9&amp;""</f>
        <v>2889</v>
      </c>
      <c r="D14" s="237" t="str">
        <f>'Data Siswa'!F9&amp;""</f>
        <v/>
      </c>
      <c r="E14" s="475"/>
      <c r="F14" s="401">
        <f>IFERROR(ROUND(USD!J16/Sat,Digit),"")</f>
        <v>82.3</v>
      </c>
      <c r="G14" s="401">
        <f>IFERROR(ROUND(USD!N16/Sat,Digit),"")</f>
        <v>81.25</v>
      </c>
      <c r="H14" s="401">
        <f>IFERROR(ROUND(USD!R16/Sat,Digit),"")</f>
        <v>80.5</v>
      </c>
      <c r="I14" s="401">
        <f>IFERROR(ROUND(USD!V16/Sat,Digit),"")</f>
        <v>73.95</v>
      </c>
      <c r="J14" s="401">
        <f>IFERROR(ROUND(USD!Z16/Sat,Digit),"")</f>
        <v>79.599999999999994</v>
      </c>
      <c r="K14" s="401">
        <f>IFERROR(ROUND(USD!AD16/Sat,Digit),"")</f>
        <v>76.55</v>
      </c>
      <c r="L14" s="401">
        <f>IFERROR(ROUND(USD!AH16/Sat,Digit),"")</f>
        <v>81.2</v>
      </c>
      <c r="M14" s="401">
        <f>IFERROR(ROUND(USD!AL16/Sat,Digit),"")</f>
        <v>81</v>
      </c>
      <c r="N14" s="401">
        <f>IFERROR(ROUND(USD!AP16/Sat,Digit),"")</f>
        <v>77.099999999999994</v>
      </c>
      <c r="O14" s="401" t="str">
        <f>IFERROR(ROUND(USD!AT16/Sat,Digit),"")</f>
        <v/>
      </c>
      <c r="P14" s="401" t="str">
        <f>IFERROR(ROUND(USD!AX16/Sat,Digit),"")</f>
        <v/>
      </c>
      <c r="Q14" s="238">
        <f t="shared" si="0"/>
        <v>713.45</v>
      </c>
      <c r="R14" s="423">
        <f t="shared" si="1"/>
        <v>79.27</v>
      </c>
      <c r="S14" s="239">
        <f t="shared" si="2"/>
        <v>17</v>
      </c>
      <c r="T14" s="292" t="str">
        <f t="shared" si="3"/>
        <v/>
      </c>
      <c r="V14" s="71" t="str">
        <f t="shared" si="4"/>
        <v>Kosong</v>
      </c>
      <c r="AD14" s="2" t="str">
        <f>'Data Siswa'!G9</f>
        <v>L</v>
      </c>
      <c r="AE14" s="2" t="str">
        <f t="shared" si="5"/>
        <v/>
      </c>
      <c r="AF14" s="2" t="str">
        <f t="shared" si="6"/>
        <v/>
      </c>
    </row>
    <row r="15" spans="2:32">
      <c r="B15" s="236">
        <v>7</v>
      </c>
      <c r="C15" s="236" t="str">
        <f>'Data Siswa'!C10&amp;""</f>
        <v>2891</v>
      </c>
      <c r="D15" s="237" t="str">
        <f>'Data Siswa'!F10&amp;""</f>
        <v/>
      </c>
      <c r="E15" s="475"/>
      <c r="F15" s="401">
        <f>IFERROR(ROUND(USD!J17/Sat,Digit),"")</f>
        <v>90.1</v>
      </c>
      <c r="G15" s="401">
        <f>IFERROR(ROUND(USD!N17/Sat,Digit),"")</f>
        <v>89.65</v>
      </c>
      <c r="H15" s="401">
        <f>IFERROR(ROUND(USD!R17/Sat,Digit),"")</f>
        <v>88.2</v>
      </c>
      <c r="I15" s="401">
        <f>IFERROR(ROUND(USD!V17/Sat,Digit),"")</f>
        <v>87.35</v>
      </c>
      <c r="J15" s="401">
        <f>IFERROR(ROUND(USD!Z17/Sat,Digit),"")</f>
        <v>84.55</v>
      </c>
      <c r="K15" s="401">
        <f>IFERROR(ROUND(USD!AD17/Sat,Digit),"")</f>
        <v>88.15</v>
      </c>
      <c r="L15" s="401">
        <f>IFERROR(ROUND(USD!AH17/Sat,Digit),"")</f>
        <v>80.2</v>
      </c>
      <c r="M15" s="401">
        <f>IFERROR(ROUND(USD!AL17/Sat,Digit),"")</f>
        <v>85.1</v>
      </c>
      <c r="N15" s="401">
        <f>IFERROR(ROUND(USD!AP17/Sat,Digit),"")</f>
        <v>82.9</v>
      </c>
      <c r="O15" s="401" t="str">
        <f>IFERROR(ROUND(USD!AT17/Sat,Digit),"")</f>
        <v/>
      </c>
      <c r="P15" s="401" t="str">
        <f>IFERROR(ROUND(USD!AX17/Sat,Digit),"")</f>
        <v/>
      </c>
      <c r="Q15" s="238">
        <f t="shared" si="0"/>
        <v>776.2</v>
      </c>
      <c r="R15" s="423">
        <f t="shared" si="1"/>
        <v>86.24</v>
      </c>
      <c r="S15" s="239">
        <f t="shared" si="2"/>
        <v>6</v>
      </c>
      <c r="T15" s="292" t="str">
        <f t="shared" si="3"/>
        <v/>
      </c>
      <c r="V15" s="71" t="str">
        <f t="shared" si="4"/>
        <v>Kosong</v>
      </c>
      <c r="AD15" s="2" t="str">
        <f>'Data Siswa'!G10</f>
        <v>P</v>
      </c>
      <c r="AE15" s="2" t="str">
        <f t="shared" si="5"/>
        <v/>
      </c>
      <c r="AF15" s="2" t="str">
        <f t="shared" si="6"/>
        <v/>
      </c>
    </row>
    <row r="16" spans="2:32">
      <c r="B16" s="236">
        <v>8</v>
      </c>
      <c r="C16" s="236" t="str">
        <f>'Data Siswa'!C11&amp;""</f>
        <v>2893</v>
      </c>
      <c r="D16" s="237" t="str">
        <f>'Data Siswa'!F11&amp;""</f>
        <v/>
      </c>
      <c r="E16" s="475"/>
      <c r="F16" s="401">
        <f>IFERROR(ROUND(USD!J18/Sat,Digit),"")</f>
        <v>82.9</v>
      </c>
      <c r="G16" s="401">
        <f>IFERROR(ROUND(USD!N18/Sat,Digit),"")</f>
        <v>79.849999999999994</v>
      </c>
      <c r="H16" s="401">
        <f>IFERROR(ROUND(USD!R18/Sat,Digit),"")</f>
        <v>81.25</v>
      </c>
      <c r="I16" s="401">
        <f>IFERROR(ROUND(USD!V18/Sat,Digit),"")</f>
        <v>72.75</v>
      </c>
      <c r="J16" s="401">
        <f>IFERROR(ROUND(USD!Z18/Sat,Digit),"")</f>
        <v>80.150000000000006</v>
      </c>
      <c r="K16" s="401">
        <f>IFERROR(ROUND(USD!AD18/Sat,Digit),"")</f>
        <v>77.95</v>
      </c>
      <c r="L16" s="401">
        <f>IFERROR(ROUND(USD!AH18/Sat,Digit),"")</f>
        <v>81.599999999999994</v>
      </c>
      <c r="M16" s="401">
        <f>IFERROR(ROUND(USD!AL18/Sat,Digit),"")</f>
        <v>82.4</v>
      </c>
      <c r="N16" s="401">
        <f>IFERROR(ROUND(USD!AP18/Sat,Digit),"")</f>
        <v>80.3</v>
      </c>
      <c r="O16" s="401" t="str">
        <f>IFERROR(ROUND(USD!AT18/Sat,Digit),"")</f>
        <v/>
      </c>
      <c r="P16" s="401" t="str">
        <f>IFERROR(ROUND(USD!AX18/Sat,Digit),"")</f>
        <v/>
      </c>
      <c r="Q16" s="238">
        <f t="shared" si="0"/>
        <v>719.14999999999986</v>
      </c>
      <c r="R16" s="423">
        <f t="shared" si="1"/>
        <v>79.91</v>
      </c>
      <c r="S16" s="239">
        <f t="shared" si="2"/>
        <v>15</v>
      </c>
      <c r="T16" s="292" t="str">
        <f t="shared" si="3"/>
        <v/>
      </c>
      <c r="V16" s="71" t="str">
        <f t="shared" si="4"/>
        <v>Kosong</v>
      </c>
      <c r="Z16" s="259" t="s">
        <v>84</v>
      </c>
      <c r="AD16" s="2" t="str">
        <f>'Data Siswa'!G11</f>
        <v>L</v>
      </c>
      <c r="AE16" s="2" t="str">
        <f t="shared" si="5"/>
        <v/>
      </c>
      <c r="AF16" s="2" t="str">
        <f t="shared" si="6"/>
        <v/>
      </c>
    </row>
    <row r="17" spans="2:32">
      <c r="B17" s="236">
        <v>9</v>
      </c>
      <c r="C17" s="236" t="str">
        <f>'Data Siswa'!C12&amp;""</f>
        <v>2892</v>
      </c>
      <c r="D17" s="237" t="str">
        <f>'Data Siswa'!F12&amp;""</f>
        <v/>
      </c>
      <c r="E17" s="475"/>
      <c r="F17" s="401">
        <f>IFERROR(ROUND(USD!J19/Sat,Digit),"")</f>
        <v>93.1</v>
      </c>
      <c r="G17" s="401">
        <f>IFERROR(ROUND(USD!N19/Sat,Digit),"")</f>
        <v>91.35</v>
      </c>
      <c r="H17" s="401">
        <f>IFERROR(ROUND(USD!R19/Sat,Digit),"")</f>
        <v>90.7</v>
      </c>
      <c r="I17" s="401">
        <f>IFERROR(ROUND(USD!V19/Sat,Digit),"")</f>
        <v>92.2</v>
      </c>
      <c r="J17" s="401">
        <f>IFERROR(ROUND(USD!Z19/Sat,Digit),"")</f>
        <v>88.3</v>
      </c>
      <c r="K17" s="401">
        <f>IFERROR(ROUND(USD!AD19/Sat,Digit),"")</f>
        <v>91.9</v>
      </c>
      <c r="L17" s="401">
        <f>IFERROR(ROUND(USD!AH19/Sat,Digit),"")</f>
        <v>88.8</v>
      </c>
      <c r="M17" s="401">
        <f>IFERROR(ROUND(USD!AL19/Sat,Digit),"")</f>
        <v>88</v>
      </c>
      <c r="N17" s="401">
        <f>IFERROR(ROUND(USD!AP19/Sat,Digit),"")</f>
        <v>85.9</v>
      </c>
      <c r="O17" s="401" t="str">
        <f>IFERROR(ROUND(USD!AT19/Sat,Digit),"")</f>
        <v/>
      </c>
      <c r="P17" s="401" t="str">
        <f>IFERROR(ROUND(USD!AX19/Sat,Digit),"")</f>
        <v/>
      </c>
      <c r="Q17" s="238">
        <f t="shared" si="0"/>
        <v>810.24999999999989</v>
      </c>
      <c r="R17" s="423">
        <f t="shared" si="1"/>
        <v>90.03</v>
      </c>
      <c r="S17" s="239">
        <f t="shared" si="2"/>
        <v>1</v>
      </c>
      <c r="T17" s="292" t="str">
        <f t="shared" si="3"/>
        <v/>
      </c>
      <c r="V17" s="71" t="str">
        <f t="shared" si="4"/>
        <v>Kosong</v>
      </c>
      <c r="Z17" s="259" t="s">
        <v>215</v>
      </c>
      <c r="AD17" s="2" t="str">
        <f>'Data Siswa'!G12</f>
        <v>P</v>
      </c>
      <c r="AE17" s="2" t="str">
        <f t="shared" si="5"/>
        <v/>
      </c>
      <c r="AF17" s="2" t="str">
        <f t="shared" si="6"/>
        <v/>
      </c>
    </row>
    <row r="18" spans="2:32">
      <c r="B18" s="236">
        <v>10</v>
      </c>
      <c r="C18" s="236" t="str">
        <f>'Data Siswa'!C13&amp;""</f>
        <v>2894</v>
      </c>
      <c r="D18" s="237" t="str">
        <f>'Data Siswa'!F13&amp;""</f>
        <v/>
      </c>
      <c r="E18" s="475"/>
      <c r="F18" s="401">
        <f>IFERROR(ROUND(USD!J20/Sat,Digit),"")</f>
        <v>89.8</v>
      </c>
      <c r="G18" s="401">
        <f>IFERROR(ROUND(USD!N20/Sat,Digit),"")</f>
        <v>90.2</v>
      </c>
      <c r="H18" s="401">
        <f>IFERROR(ROUND(USD!R20/Sat,Digit),"")</f>
        <v>89.3</v>
      </c>
      <c r="I18" s="401">
        <f>IFERROR(ROUND(USD!V20/Sat,Digit),"")</f>
        <v>89.05</v>
      </c>
      <c r="J18" s="401">
        <f>IFERROR(ROUND(USD!Z20/Sat,Digit),"")</f>
        <v>89.75</v>
      </c>
      <c r="K18" s="401">
        <f>IFERROR(ROUND(USD!AD20/Sat,Digit),"")</f>
        <v>89.1</v>
      </c>
      <c r="L18" s="401">
        <f>IFERROR(ROUND(USD!AH20/Sat,Digit),"")</f>
        <v>84.4</v>
      </c>
      <c r="M18" s="401">
        <f>IFERROR(ROUND(USD!AL20/Sat,Digit),"")</f>
        <v>88.2</v>
      </c>
      <c r="N18" s="401">
        <f>IFERROR(ROUND(USD!AP20/Sat,Digit),"")</f>
        <v>85.7</v>
      </c>
      <c r="O18" s="401" t="str">
        <f>IFERROR(ROUND(USD!AT20/Sat,Digit),"")</f>
        <v/>
      </c>
      <c r="P18" s="401" t="str">
        <f>IFERROR(ROUND(USD!AX20/Sat,Digit),"")</f>
        <v/>
      </c>
      <c r="Q18" s="238">
        <f t="shared" si="0"/>
        <v>795.50000000000011</v>
      </c>
      <c r="R18" s="423">
        <f t="shared" si="1"/>
        <v>88.39</v>
      </c>
      <c r="S18" s="239">
        <f t="shared" si="2"/>
        <v>3</v>
      </c>
      <c r="T18" s="292" t="str">
        <f t="shared" si="3"/>
        <v/>
      </c>
      <c r="V18" s="71" t="str">
        <f t="shared" si="4"/>
        <v>Kosong</v>
      </c>
      <c r="AD18" s="2" t="str">
        <f>'Data Siswa'!G13</f>
        <v>P</v>
      </c>
      <c r="AE18" s="2" t="str">
        <f t="shared" si="5"/>
        <v/>
      </c>
      <c r="AF18" s="2" t="str">
        <f t="shared" si="6"/>
        <v/>
      </c>
    </row>
    <row r="19" spans="2:32">
      <c r="B19" s="236">
        <v>11</v>
      </c>
      <c r="C19" s="236" t="str">
        <f>'Data Siswa'!C14&amp;""</f>
        <v>2895</v>
      </c>
      <c r="D19" s="237" t="str">
        <f>'Data Siswa'!F14&amp;""</f>
        <v/>
      </c>
      <c r="E19" s="475"/>
      <c r="F19" s="401">
        <f>IFERROR(ROUND(USD!J21/Sat,Digit),"")</f>
        <v>80.599999999999994</v>
      </c>
      <c r="G19" s="401">
        <f>IFERROR(ROUND(USD!N21/Sat,Digit),"")</f>
        <v>82.25</v>
      </c>
      <c r="H19" s="401">
        <f>IFERROR(ROUND(USD!R21/Sat,Digit),"")</f>
        <v>82.15</v>
      </c>
      <c r="I19" s="401">
        <f>IFERROR(ROUND(USD!V21/Sat,Digit),"")</f>
        <v>72.8</v>
      </c>
      <c r="J19" s="401">
        <f>IFERROR(ROUND(USD!Z21/Sat,Digit),"")</f>
        <v>81.25</v>
      </c>
      <c r="K19" s="401">
        <f>IFERROR(ROUND(USD!AD21/Sat,Digit),"")</f>
        <v>82.8</v>
      </c>
      <c r="L19" s="401">
        <f>IFERROR(ROUND(USD!AH21/Sat,Digit),"")</f>
        <v>78.400000000000006</v>
      </c>
      <c r="M19" s="401">
        <f>IFERROR(ROUND(USD!AL21/Sat,Digit),"")</f>
        <v>81.2</v>
      </c>
      <c r="N19" s="401">
        <f>IFERROR(ROUND(USD!AP21/Sat,Digit),"")</f>
        <v>77.900000000000006</v>
      </c>
      <c r="O19" s="401" t="str">
        <f>IFERROR(ROUND(USD!AT21/Sat,Digit),"")</f>
        <v/>
      </c>
      <c r="P19" s="401" t="str">
        <f>IFERROR(ROUND(USD!AX21/Sat,Digit),"")</f>
        <v/>
      </c>
      <c r="Q19" s="238">
        <f t="shared" si="0"/>
        <v>719.35</v>
      </c>
      <c r="R19" s="423">
        <f t="shared" si="1"/>
        <v>79.930000000000007</v>
      </c>
      <c r="S19" s="239">
        <f t="shared" si="2"/>
        <v>14</v>
      </c>
      <c r="T19" s="292" t="str">
        <f t="shared" si="3"/>
        <v/>
      </c>
      <c r="V19" s="71" t="str">
        <f t="shared" si="4"/>
        <v>Kosong</v>
      </c>
      <c r="AD19" s="2" t="str">
        <f>'Data Siswa'!G14</f>
        <v>P</v>
      </c>
      <c r="AE19" s="2" t="str">
        <f t="shared" si="5"/>
        <v/>
      </c>
      <c r="AF19" s="2" t="str">
        <f t="shared" si="6"/>
        <v/>
      </c>
    </row>
    <row r="20" spans="2:32">
      <c r="B20" s="236">
        <v>12</v>
      </c>
      <c r="C20" s="236" t="str">
        <f>'Data Siswa'!C15&amp;""</f>
        <v>2896</v>
      </c>
      <c r="D20" s="237" t="str">
        <f>'Data Siswa'!F15&amp;""</f>
        <v/>
      </c>
      <c r="E20" s="475"/>
      <c r="F20" s="401">
        <f>IFERROR(ROUND(USD!J22/Sat,Digit),"")</f>
        <v>92.8</v>
      </c>
      <c r="G20" s="401">
        <f>IFERROR(ROUND(USD!N22/Sat,Digit),"")</f>
        <v>90.15</v>
      </c>
      <c r="H20" s="401">
        <f>IFERROR(ROUND(USD!R22/Sat,Digit),"")</f>
        <v>91.3</v>
      </c>
      <c r="I20" s="401">
        <f>IFERROR(ROUND(USD!V22/Sat,Digit),"")</f>
        <v>81.55</v>
      </c>
      <c r="J20" s="401">
        <f>IFERROR(ROUND(USD!Z22/Sat,Digit),"")</f>
        <v>92.2</v>
      </c>
      <c r="K20" s="401">
        <f>IFERROR(ROUND(USD!AD22/Sat,Digit),"")</f>
        <v>91.2</v>
      </c>
      <c r="L20" s="401">
        <f>IFERROR(ROUND(USD!AH22/Sat,Digit),"")</f>
        <v>89.2</v>
      </c>
      <c r="M20" s="401">
        <f>IFERROR(ROUND(USD!AL22/Sat,Digit),"")</f>
        <v>88.1</v>
      </c>
      <c r="N20" s="401">
        <f>IFERROR(ROUND(USD!AP22/Sat,Digit),"")</f>
        <v>86.9</v>
      </c>
      <c r="O20" s="401" t="str">
        <f>IFERROR(ROUND(USD!AT22/Sat,Digit),"")</f>
        <v/>
      </c>
      <c r="P20" s="401" t="str">
        <f>IFERROR(ROUND(USD!AX22/Sat,Digit),"")</f>
        <v/>
      </c>
      <c r="Q20" s="238">
        <f t="shared" si="0"/>
        <v>803.40000000000009</v>
      </c>
      <c r="R20" s="423">
        <f t="shared" si="1"/>
        <v>89.27</v>
      </c>
      <c r="S20" s="239">
        <f t="shared" si="2"/>
        <v>2</v>
      </c>
      <c r="T20" s="292" t="str">
        <f t="shared" si="3"/>
        <v/>
      </c>
      <c r="V20" s="71" t="str">
        <f t="shared" si="4"/>
        <v>Kosong</v>
      </c>
      <c r="AD20" s="2" t="str">
        <f>'Data Siswa'!G15</f>
        <v>P</v>
      </c>
      <c r="AE20" s="2" t="str">
        <f t="shared" si="5"/>
        <v/>
      </c>
      <c r="AF20" s="2" t="str">
        <f t="shared" si="6"/>
        <v/>
      </c>
    </row>
    <row r="21" spans="2:32">
      <c r="B21" s="236">
        <v>13</v>
      </c>
      <c r="C21" s="236" t="str">
        <f>'Data Siswa'!C16&amp;""</f>
        <v>2897</v>
      </c>
      <c r="D21" s="237" t="str">
        <f>'Data Siswa'!F16&amp;""</f>
        <v/>
      </c>
      <c r="E21" s="475"/>
      <c r="F21" s="401">
        <f>IFERROR(ROUND(USD!J23/Sat,Digit),"")</f>
        <v>83.2</v>
      </c>
      <c r="G21" s="401">
        <f>IFERROR(ROUND(USD!N23/Sat,Digit),"")</f>
        <v>83.9</v>
      </c>
      <c r="H21" s="401">
        <f>IFERROR(ROUND(USD!R23/Sat,Digit),"")</f>
        <v>81.7</v>
      </c>
      <c r="I21" s="401">
        <f>IFERROR(ROUND(USD!V23/Sat,Digit),"")</f>
        <v>71</v>
      </c>
      <c r="J21" s="401">
        <f>IFERROR(ROUND(USD!Z23/Sat,Digit),"")</f>
        <v>82.35</v>
      </c>
      <c r="K21" s="401">
        <f>IFERROR(ROUND(USD!AD23/Sat,Digit),"")</f>
        <v>81.349999999999994</v>
      </c>
      <c r="L21" s="401">
        <f>IFERROR(ROUND(USD!AH23/Sat,Digit),"")</f>
        <v>82.7</v>
      </c>
      <c r="M21" s="401">
        <f>IFERROR(ROUND(USD!AL23/Sat,Digit),"")</f>
        <v>81.599999999999994</v>
      </c>
      <c r="N21" s="401">
        <f>IFERROR(ROUND(USD!AP23/Sat,Digit),"")</f>
        <v>77.400000000000006</v>
      </c>
      <c r="O21" s="401" t="str">
        <f>IFERROR(ROUND(USD!AT23/Sat,Digit),"")</f>
        <v/>
      </c>
      <c r="P21" s="401" t="str">
        <f>IFERROR(ROUND(USD!AX23/Sat,Digit),"")</f>
        <v/>
      </c>
      <c r="Q21" s="238">
        <f t="shared" si="0"/>
        <v>725.2</v>
      </c>
      <c r="R21" s="423">
        <f t="shared" si="1"/>
        <v>80.58</v>
      </c>
      <c r="S21" s="239">
        <f t="shared" si="2"/>
        <v>13</v>
      </c>
      <c r="T21" s="292" t="str">
        <f t="shared" si="3"/>
        <v/>
      </c>
      <c r="V21" s="71" t="str">
        <f t="shared" si="4"/>
        <v>Kosong</v>
      </c>
      <c r="AD21" s="2" t="str">
        <f>'Data Siswa'!G16</f>
        <v>L</v>
      </c>
      <c r="AE21" s="2" t="str">
        <f t="shared" si="5"/>
        <v/>
      </c>
      <c r="AF21" s="2" t="str">
        <f t="shared" si="6"/>
        <v/>
      </c>
    </row>
    <row r="22" spans="2:32">
      <c r="B22" s="236">
        <v>14</v>
      </c>
      <c r="C22" s="236" t="str">
        <f>'Data Siswa'!C17&amp;""</f>
        <v>2898</v>
      </c>
      <c r="D22" s="237" t="str">
        <f>'Data Siswa'!F17&amp;""</f>
        <v/>
      </c>
      <c r="E22" s="475"/>
      <c r="F22" s="401">
        <f>IFERROR(ROUND(USD!J24/Sat,Digit),"")</f>
        <v>85.5</v>
      </c>
      <c r="G22" s="401">
        <f>IFERROR(ROUND(USD!N24/Sat,Digit),"")</f>
        <v>82.15</v>
      </c>
      <c r="H22" s="401">
        <f>IFERROR(ROUND(USD!R24/Sat,Digit),"")</f>
        <v>83.1</v>
      </c>
      <c r="I22" s="401">
        <f>IFERROR(ROUND(USD!V24/Sat,Digit),"")</f>
        <v>70.5</v>
      </c>
      <c r="J22" s="401">
        <f>IFERROR(ROUND(USD!Z24/Sat,Digit),"")</f>
        <v>79.150000000000006</v>
      </c>
      <c r="K22" s="401">
        <f>IFERROR(ROUND(USD!AD24/Sat,Digit),"")</f>
        <v>82.2</v>
      </c>
      <c r="L22" s="401">
        <f>IFERROR(ROUND(USD!AH24/Sat,Digit),"")</f>
        <v>82.5</v>
      </c>
      <c r="M22" s="401">
        <f>IFERROR(ROUND(USD!AL24/Sat,Digit),"")</f>
        <v>82.6</v>
      </c>
      <c r="N22" s="401">
        <f>IFERROR(ROUND(USD!AP24/Sat,Digit),"")</f>
        <v>80.099999999999994</v>
      </c>
      <c r="O22" s="401" t="str">
        <f>IFERROR(ROUND(USD!AT24/Sat,Digit),"")</f>
        <v/>
      </c>
      <c r="P22" s="401" t="str">
        <f>IFERROR(ROUND(USD!AX24/Sat,Digit),"")</f>
        <v/>
      </c>
      <c r="Q22" s="238">
        <f t="shared" si="0"/>
        <v>727.8</v>
      </c>
      <c r="R22" s="423">
        <f t="shared" si="1"/>
        <v>80.87</v>
      </c>
      <c r="S22" s="239">
        <f t="shared" si="2"/>
        <v>11</v>
      </c>
      <c r="T22" s="292" t="str">
        <f t="shared" si="3"/>
        <v/>
      </c>
      <c r="V22" s="71" t="str">
        <f t="shared" si="4"/>
        <v>Kosong</v>
      </c>
      <c r="AD22" s="2" t="str">
        <f>'Data Siswa'!G17</f>
        <v>L</v>
      </c>
      <c r="AE22" s="2" t="str">
        <f t="shared" si="5"/>
        <v/>
      </c>
      <c r="AF22" s="2" t="str">
        <f t="shared" si="6"/>
        <v/>
      </c>
    </row>
    <row r="23" spans="2:32">
      <c r="B23" s="236">
        <v>15</v>
      </c>
      <c r="C23" s="236" t="str">
        <f>'Data Siswa'!C18&amp;""</f>
        <v>2900</v>
      </c>
      <c r="D23" s="237" t="str">
        <f>'Data Siswa'!F18&amp;""</f>
        <v/>
      </c>
      <c r="E23" s="475"/>
      <c r="F23" s="401">
        <f>IFERROR(ROUND(USD!J25/Sat,Digit),"")</f>
        <v>82.7</v>
      </c>
      <c r="G23" s="401">
        <f>IFERROR(ROUND(USD!N25/Sat,Digit),"")</f>
        <v>76.45</v>
      </c>
      <c r="H23" s="401">
        <f>IFERROR(ROUND(USD!R25/Sat,Digit),"")</f>
        <v>77.099999999999994</v>
      </c>
      <c r="I23" s="401">
        <f>IFERROR(ROUND(USD!V25/Sat,Digit),"")</f>
        <v>76.45</v>
      </c>
      <c r="J23" s="401">
        <f>IFERROR(ROUND(USD!Z25/Sat,Digit),"")</f>
        <v>79.650000000000006</v>
      </c>
      <c r="K23" s="401">
        <f>IFERROR(ROUND(USD!AD25/Sat,Digit),"")</f>
        <v>73.2</v>
      </c>
      <c r="L23" s="401">
        <f>IFERROR(ROUND(USD!AH25/Sat,Digit),"")</f>
        <v>83.7</v>
      </c>
      <c r="M23" s="401">
        <f>IFERROR(ROUND(USD!AL25/Sat,Digit),"")</f>
        <v>82.3</v>
      </c>
      <c r="N23" s="401">
        <f>IFERROR(ROUND(USD!AP25/Sat,Digit),"")</f>
        <v>79.5</v>
      </c>
      <c r="O23" s="401" t="str">
        <f>IFERROR(ROUND(USD!AT25/Sat,Digit),"")</f>
        <v/>
      </c>
      <c r="P23" s="401" t="str">
        <f>IFERROR(ROUND(USD!AX25/Sat,Digit),"")</f>
        <v/>
      </c>
      <c r="Q23" s="238">
        <f t="shared" si="0"/>
        <v>711.05</v>
      </c>
      <c r="R23" s="423">
        <f t="shared" si="1"/>
        <v>79.010000000000005</v>
      </c>
      <c r="S23" s="239">
        <f t="shared" si="2"/>
        <v>18</v>
      </c>
      <c r="T23" s="292" t="str">
        <f t="shared" si="3"/>
        <v/>
      </c>
      <c r="V23" s="71" t="str">
        <f t="shared" si="4"/>
        <v>Kosong</v>
      </c>
      <c r="AD23" s="2" t="str">
        <f>'Data Siswa'!G18</f>
        <v>P</v>
      </c>
      <c r="AE23" s="2" t="str">
        <f t="shared" si="5"/>
        <v/>
      </c>
      <c r="AF23" s="2" t="str">
        <f t="shared" si="6"/>
        <v/>
      </c>
    </row>
    <row r="24" spans="2:32">
      <c r="B24" s="236">
        <v>16</v>
      </c>
      <c r="C24" s="236" t="str">
        <f>'Data Siswa'!C19&amp;""</f>
        <v>2899</v>
      </c>
      <c r="D24" s="237" t="str">
        <f>'Data Siswa'!F19&amp;""</f>
        <v/>
      </c>
      <c r="E24" s="475"/>
      <c r="F24" s="401">
        <f>IFERROR(ROUND(USD!J26/Sat,Digit),"")</f>
        <v>86.6</v>
      </c>
      <c r="G24" s="401">
        <f>IFERROR(ROUND(USD!N26/Sat,Digit),"")</f>
        <v>83.35</v>
      </c>
      <c r="H24" s="401">
        <f>IFERROR(ROUND(USD!R26/Sat,Digit),"")</f>
        <v>82.7</v>
      </c>
      <c r="I24" s="401">
        <f>IFERROR(ROUND(USD!V26/Sat,Digit),"")</f>
        <v>78.7</v>
      </c>
      <c r="J24" s="401">
        <f>IFERROR(ROUND(USD!Z26/Sat,Digit),"")</f>
        <v>79.05</v>
      </c>
      <c r="K24" s="401">
        <f>IFERROR(ROUND(USD!AD26/Sat,Digit),"")</f>
        <v>82.25</v>
      </c>
      <c r="L24" s="401">
        <f>IFERROR(ROUND(USD!AH26/Sat,Digit),"")</f>
        <v>83.7</v>
      </c>
      <c r="M24" s="401">
        <f>IFERROR(ROUND(USD!AL26/Sat,Digit),"")</f>
        <v>82.6</v>
      </c>
      <c r="N24" s="401">
        <f>IFERROR(ROUND(USD!AP26/Sat,Digit),"")</f>
        <v>81.599999999999994</v>
      </c>
      <c r="O24" s="401" t="str">
        <f>IFERROR(ROUND(USD!AT26/Sat,Digit),"")</f>
        <v/>
      </c>
      <c r="P24" s="401" t="str">
        <f>IFERROR(ROUND(USD!AX26/Sat,Digit),"")</f>
        <v/>
      </c>
      <c r="Q24" s="238">
        <f t="shared" si="0"/>
        <v>740.55000000000007</v>
      </c>
      <c r="R24" s="423">
        <f t="shared" si="1"/>
        <v>82.28</v>
      </c>
      <c r="S24" s="239">
        <f t="shared" si="2"/>
        <v>10</v>
      </c>
      <c r="T24" s="292" t="str">
        <f t="shared" si="3"/>
        <v/>
      </c>
      <c r="V24" s="71" t="str">
        <f t="shared" si="4"/>
        <v>Kosong</v>
      </c>
      <c r="AD24" s="2" t="str">
        <f>'Data Siswa'!G19</f>
        <v>P</v>
      </c>
      <c r="AE24" s="2" t="str">
        <f t="shared" si="5"/>
        <v/>
      </c>
      <c r="AF24" s="2" t="str">
        <f t="shared" si="6"/>
        <v/>
      </c>
    </row>
    <row r="25" spans="2:32">
      <c r="B25" s="236">
        <v>17</v>
      </c>
      <c r="C25" s="236" t="str">
        <f>'Data Siswa'!C20&amp;""</f>
        <v>2901</v>
      </c>
      <c r="D25" s="237" t="str">
        <f>'Data Siswa'!F20&amp;""</f>
        <v/>
      </c>
      <c r="E25" s="475"/>
      <c r="F25" s="401">
        <f>IFERROR(ROUND(USD!J27/Sat,Digit),"")</f>
        <v>88.5</v>
      </c>
      <c r="G25" s="401">
        <f>IFERROR(ROUND(USD!N27/Sat,Digit),"")</f>
        <v>84.35</v>
      </c>
      <c r="H25" s="401">
        <f>IFERROR(ROUND(USD!R27/Sat,Digit),"")</f>
        <v>85.75</v>
      </c>
      <c r="I25" s="401">
        <f>IFERROR(ROUND(USD!V27/Sat,Digit),"")</f>
        <v>75.400000000000006</v>
      </c>
      <c r="J25" s="401">
        <f>IFERROR(ROUND(USD!Z27/Sat,Digit),"")</f>
        <v>83.2</v>
      </c>
      <c r="K25" s="401">
        <f>IFERROR(ROUND(USD!AD27/Sat,Digit),"")</f>
        <v>81.7</v>
      </c>
      <c r="L25" s="401">
        <f>IFERROR(ROUND(USD!AH27/Sat,Digit),"")</f>
        <v>83.7</v>
      </c>
      <c r="M25" s="401">
        <f>IFERROR(ROUND(USD!AL27/Sat,Digit),"")</f>
        <v>81.5</v>
      </c>
      <c r="N25" s="401">
        <f>IFERROR(ROUND(USD!AP27/Sat,Digit),"")</f>
        <v>84.9</v>
      </c>
      <c r="O25" s="401" t="str">
        <f>IFERROR(ROUND(USD!AT27/Sat,Digit),"")</f>
        <v/>
      </c>
      <c r="P25" s="401" t="str">
        <f>IFERROR(ROUND(USD!AX27/Sat,Digit),"")</f>
        <v/>
      </c>
      <c r="Q25" s="238">
        <f t="shared" si="0"/>
        <v>749</v>
      </c>
      <c r="R25" s="423">
        <f t="shared" si="1"/>
        <v>83.22</v>
      </c>
      <c r="S25" s="239">
        <f t="shared" si="2"/>
        <v>9</v>
      </c>
      <c r="T25" s="292" t="str">
        <f t="shared" si="3"/>
        <v/>
      </c>
      <c r="V25" s="71" t="str">
        <f t="shared" si="4"/>
        <v>Kosong</v>
      </c>
      <c r="AD25" s="2" t="str">
        <f>'Data Siswa'!G20</f>
        <v>P</v>
      </c>
      <c r="AE25" s="2" t="str">
        <f t="shared" si="5"/>
        <v/>
      </c>
      <c r="AF25" s="2" t="str">
        <f t="shared" si="6"/>
        <v/>
      </c>
    </row>
    <row r="26" spans="2:32">
      <c r="B26" s="236">
        <v>18</v>
      </c>
      <c r="C26" s="236" t="str">
        <f>'Data Siswa'!C21&amp;""</f>
        <v>2902</v>
      </c>
      <c r="D26" s="237" t="str">
        <f>'Data Siswa'!F21&amp;""</f>
        <v/>
      </c>
      <c r="E26" s="475"/>
      <c r="F26" s="401">
        <f>IFERROR(ROUND(USD!J28/Sat,Digit),"")</f>
        <v>93.4</v>
      </c>
      <c r="G26" s="401">
        <f>IFERROR(ROUND(USD!N28/Sat,Digit),"")</f>
        <v>89.4</v>
      </c>
      <c r="H26" s="401">
        <f>IFERROR(ROUND(USD!R28/Sat,Digit),"")</f>
        <v>89.65</v>
      </c>
      <c r="I26" s="401">
        <f>IFERROR(ROUND(USD!V28/Sat,Digit),"")</f>
        <v>87.9</v>
      </c>
      <c r="J26" s="401">
        <f>IFERROR(ROUND(USD!Z28/Sat,Digit),"")</f>
        <v>86.1</v>
      </c>
      <c r="K26" s="401">
        <f>IFERROR(ROUND(USD!AD28/Sat,Digit),"")</f>
        <v>86.5</v>
      </c>
      <c r="L26" s="401">
        <f>IFERROR(ROUND(USD!AH28/Sat,Digit),"")</f>
        <v>85.6</v>
      </c>
      <c r="M26" s="401">
        <f>IFERROR(ROUND(USD!AL28/Sat,Digit),"")</f>
        <v>86.9</v>
      </c>
      <c r="N26" s="401">
        <f>IFERROR(ROUND(USD!AP28/Sat,Digit),"")</f>
        <v>86.3</v>
      </c>
      <c r="O26" s="401" t="str">
        <f>IFERROR(ROUND(USD!AT28/Sat,Digit),"")</f>
        <v/>
      </c>
      <c r="P26" s="401" t="str">
        <f>IFERROR(ROUND(USD!AX28/Sat,Digit),"")</f>
        <v/>
      </c>
      <c r="Q26" s="238">
        <f t="shared" si="0"/>
        <v>791.75</v>
      </c>
      <c r="R26" s="423">
        <f t="shared" si="1"/>
        <v>87.97</v>
      </c>
      <c r="S26" s="239">
        <f t="shared" si="2"/>
        <v>5</v>
      </c>
      <c r="T26" s="292" t="str">
        <f t="shared" si="3"/>
        <v/>
      </c>
      <c r="V26" s="71" t="str">
        <f t="shared" si="4"/>
        <v>Kosong</v>
      </c>
      <c r="AD26" s="2" t="str">
        <f>'Data Siswa'!G21</f>
        <v>L</v>
      </c>
      <c r="AE26" s="2" t="str">
        <f t="shared" si="5"/>
        <v/>
      </c>
      <c r="AF26" s="2" t="str">
        <f t="shared" si="6"/>
        <v/>
      </c>
    </row>
    <row r="27" spans="2:32">
      <c r="B27" s="236">
        <v>19</v>
      </c>
      <c r="C27" s="236" t="str">
        <f>'Data Siswa'!C22&amp;""</f>
        <v>2904</v>
      </c>
      <c r="D27" s="237" t="str">
        <f>'Data Siswa'!F22&amp;""</f>
        <v/>
      </c>
      <c r="E27" s="475"/>
      <c r="F27" s="401">
        <f>IFERROR(ROUND(USD!J29/Sat,Digit),"")</f>
        <v>87.6</v>
      </c>
      <c r="G27" s="401">
        <f>IFERROR(ROUND(USD!N29/Sat,Digit),"")</f>
        <v>88.15</v>
      </c>
      <c r="H27" s="401">
        <f>IFERROR(ROUND(USD!R29/Sat,Digit),"")</f>
        <v>86.15</v>
      </c>
      <c r="I27" s="401">
        <f>IFERROR(ROUND(USD!V29/Sat,Digit),"")</f>
        <v>80.849999999999994</v>
      </c>
      <c r="J27" s="401">
        <f>IFERROR(ROUND(USD!Z29/Sat,Digit),"")</f>
        <v>81.900000000000006</v>
      </c>
      <c r="K27" s="401">
        <f>IFERROR(ROUND(USD!AD29/Sat,Digit),"")</f>
        <v>83.85</v>
      </c>
      <c r="L27" s="401">
        <f>IFERROR(ROUND(USD!AH29/Sat,Digit),"")</f>
        <v>80.099999999999994</v>
      </c>
      <c r="M27" s="401">
        <f>IFERROR(ROUND(USD!AL29/Sat,Digit),"")</f>
        <v>84</v>
      </c>
      <c r="N27" s="401">
        <f>IFERROR(ROUND(USD!AP29/Sat,Digit),"")</f>
        <v>77.400000000000006</v>
      </c>
      <c r="O27" s="401" t="str">
        <f>IFERROR(ROUND(USD!AT29/Sat,Digit),"")</f>
        <v/>
      </c>
      <c r="P27" s="401" t="str">
        <f>IFERROR(ROUND(USD!AX29/Sat,Digit),"")</f>
        <v/>
      </c>
      <c r="Q27" s="238">
        <f t="shared" si="0"/>
        <v>750</v>
      </c>
      <c r="R27" s="423">
        <f t="shared" si="1"/>
        <v>83.33</v>
      </c>
      <c r="S27" s="239">
        <f t="shared" si="2"/>
        <v>8</v>
      </c>
      <c r="T27" s="292" t="str">
        <f t="shared" si="3"/>
        <v/>
      </c>
      <c r="V27" s="71" t="str">
        <f t="shared" si="4"/>
        <v>Kosong</v>
      </c>
      <c r="AD27" s="2" t="str">
        <f>'Data Siswa'!G22</f>
        <v>P</v>
      </c>
      <c r="AE27" s="2" t="str">
        <f t="shared" si="5"/>
        <v/>
      </c>
      <c r="AF27" s="2" t="str">
        <f t="shared" si="6"/>
        <v/>
      </c>
    </row>
    <row r="28" spans="2:32">
      <c r="B28" s="236">
        <v>20</v>
      </c>
      <c r="C28" s="236" t="str">
        <f>'Data Siswa'!C23&amp;""</f>
        <v>1111</v>
      </c>
      <c r="D28" s="237" t="str">
        <f>'Data Siswa'!F23&amp;""</f>
        <v/>
      </c>
      <c r="E28" s="475"/>
      <c r="F28" s="401">
        <f>IFERROR(ROUND(USD!J30/Sat,Digit),"")</f>
        <v>85.7</v>
      </c>
      <c r="G28" s="401">
        <f>IFERROR(ROUND(USD!N30/Sat,Digit),"")</f>
        <v>88.75</v>
      </c>
      <c r="H28" s="401">
        <f>IFERROR(ROUND(USD!R30/Sat,Digit),"")</f>
        <v>87</v>
      </c>
      <c r="I28" s="401">
        <f>IFERROR(ROUND(USD!V30/Sat,Digit),"")</f>
        <v>82.75</v>
      </c>
      <c r="J28" s="401">
        <f>IFERROR(ROUND(USD!Z30/Sat,Digit),"")</f>
        <v>85.2</v>
      </c>
      <c r="K28" s="401">
        <f>IFERROR(ROUND(USD!AD30/Sat,Digit),"")</f>
        <v>86.2</v>
      </c>
      <c r="L28" s="401">
        <f>IFERROR(ROUND(USD!AH30/Sat,Digit),"")</f>
        <v>83.4</v>
      </c>
      <c r="M28" s="401">
        <f>IFERROR(ROUND(USD!AL30/Sat,Digit),"")</f>
        <v>85</v>
      </c>
      <c r="N28" s="401">
        <f>IFERROR(ROUND(USD!AP30/Sat,Digit),"")</f>
        <v>83.1</v>
      </c>
      <c r="O28" s="401" t="str">
        <f>IFERROR(ROUND(USD!AT30/Sat,Digit),"")</f>
        <v/>
      </c>
      <c r="P28" s="401" t="str">
        <f>IFERROR(ROUND(USD!AX30/Sat,Digit),"")</f>
        <v/>
      </c>
      <c r="Q28" s="238">
        <f t="shared" si="0"/>
        <v>767.1</v>
      </c>
      <c r="R28" s="423">
        <f t="shared" si="1"/>
        <v>85.23</v>
      </c>
      <c r="S28" s="239">
        <f t="shared" si="2"/>
        <v>7</v>
      </c>
      <c r="T28" s="292" t="str">
        <f t="shared" si="3"/>
        <v/>
      </c>
      <c r="V28" s="71" t="str">
        <f t="shared" si="4"/>
        <v>Kosong</v>
      </c>
      <c r="AD28" s="2" t="str">
        <f>'Data Siswa'!G23</f>
        <v>P</v>
      </c>
      <c r="AE28" s="2" t="str">
        <f t="shared" si="5"/>
        <v/>
      </c>
      <c r="AF28" s="2" t="str">
        <f t="shared" si="6"/>
        <v/>
      </c>
    </row>
    <row r="29" spans="2:32">
      <c r="B29" s="236">
        <v>21</v>
      </c>
      <c r="C29" s="236" t="str">
        <f>'Data Siswa'!C24&amp;""</f>
        <v>2906</v>
      </c>
      <c r="D29" s="237" t="str">
        <f>'Data Siswa'!F24&amp;""</f>
        <v/>
      </c>
      <c r="E29" s="475"/>
      <c r="F29" s="401">
        <f>IFERROR(ROUND(USD!J31/Sat,Digit),"")</f>
        <v>81.2</v>
      </c>
      <c r="G29" s="401">
        <f>IFERROR(ROUND(USD!N31/Sat,Digit),"")</f>
        <v>77.25</v>
      </c>
      <c r="H29" s="401">
        <f>IFERROR(ROUND(USD!R31/Sat,Digit),"")</f>
        <v>82.35</v>
      </c>
      <c r="I29" s="401">
        <f>IFERROR(ROUND(USD!V31/Sat,Digit),"")</f>
        <v>75.099999999999994</v>
      </c>
      <c r="J29" s="401">
        <f>IFERROR(ROUND(USD!Z31/Sat,Digit),"")</f>
        <v>77.2</v>
      </c>
      <c r="K29" s="401">
        <f>IFERROR(ROUND(USD!AD31/Sat,Digit),"")</f>
        <v>78.349999999999994</v>
      </c>
      <c r="L29" s="401">
        <f>IFERROR(ROUND(USD!AH31/Sat,Digit),"")</f>
        <v>76.400000000000006</v>
      </c>
      <c r="M29" s="401">
        <f>IFERROR(ROUND(USD!AL31/Sat,Digit),"")</f>
        <v>79.599999999999994</v>
      </c>
      <c r="N29" s="401">
        <f>IFERROR(ROUND(USD!AP31/Sat,Digit),"")</f>
        <v>74.8</v>
      </c>
      <c r="O29" s="401" t="str">
        <f>IFERROR(ROUND(USD!AT31/Sat,Digit),"")</f>
        <v/>
      </c>
      <c r="P29" s="401" t="str">
        <f>IFERROR(ROUND(USD!AX31/Sat,Digit),"")</f>
        <v/>
      </c>
      <c r="Q29" s="238">
        <f t="shared" si="0"/>
        <v>702.24999999999989</v>
      </c>
      <c r="R29" s="423">
        <f t="shared" si="1"/>
        <v>78.03</v>
      </c>
      <c r="S29" s="239">
        <f t="shared" si="2"/>
        <v>19</v>
      </c>
      <c r="T29" s="292" t="str">
        <f t="shared" si="3"/>
        <v/>
      </c>
      <c r="V29" s="71" t="str">
        <f t="shared" si="4"/>
        <v>Kosong</v>
      </c>
      <c r="AD29" s="2" t="str">
        <f>'Data Siswa'!G24</f>
        <v>L</v>
      </c>
      <c r="AE29" s="2" t="str">
        <f t="shared" si="5"/>
        <v/>
      </c>
      <c r="AF29" s="2" t="str">
        <f t="shared" si="6"/>
        <v/>
      </c>
    </row>
    <row r="30" spans="2:32">
      <c r="B30" s="236">
        <v>22</v>
      </c>
      <c r="C30" s="236" t="str">
        <f>'Data Siswa'!C25&amp;""</f>
        <v/>
      </c>
      <c r="D30" s="237" t="str">
        <f>'Data Siswa'!F25&amp;""</f>
        <v/>
      </c>
      <c r="E30" s="475"/>
      <c r="F30" s="401" t="str">
        <f>IFERROR(ROUND(USD!J32/Sat,Digit),"")</f>
        <v/>
      </c>
      <c r="G30" s="401" t="str">
        <f>IFERROR(ROUND(USD!N32/Sat,Digit),"")</f>
        <v/>
      </c>
      <c r="H30" s="401" t="str">
        <f>IFERROR(ROUND(USD!R32/Sat,Digit),"")</f>
        <v/>
      </c>
      <c r="I30" s="401" t="str">
        <f>IFERROR(ROUND(USD!V32/Sat,Digit),"")</f>
        <v/>
      </c>
      <c r="J30" s="401" t="str">
        <f>IFERROR(ROUND(USD!Z32/Sat,Digit),"")</f>
        <v/>
      </c>
      <c r="K30" s="401" t="str">
        <f>IFERROR(ROUND(USD!AD32/Sat,Digit),"")</f>
        <v/>
      </c>
      <c r="L30" s="401" t="str">
        <f>IFERROR(ROUND(USD!AH32/Sat,Digit),"")</f>
        <v/>
      </c>
      <c r="M30" s="401" t="str">
        <f>IFERROR(ROUND(USD!AL32/Sat,Digit),"")</f>
        <v/>
      </c>
      <c r="N30" s="401" t="str">
        <f>IFERROR(ROUND(USD!AP32/Sat,Digit),"")</f>
        <v/>
      </c>
      <c r="O30" s="401" t="str">
        <f>IFERROR(ROUND(USD!AT32/Sat,Digit),"")</f>
        <v/>
      </c>
      <c r="P30" s="401" t="str">
        <f>IFERROR(ROUND(USD!AX32/Sat,Digit),"")</f>
        <v/>
      </c>
      <c r="Q30" s="238" t="str">
        <f t="shared" si="0"/>
        <v/>
      </c>
      <c r="R30" s="423" t="str">
        <f t="shared" si="1"/>
        <v/>
      </c>
      <c r="S30" s="239" t="str">
        <f t="shared" si="2"/>
        <v/>
      </c>
      <c r="T30" s="292" t="str">
        <f t="shared" si="3"/>
        <v/>
      </c>
      <c r="V30" s="71" t="str">
        <f t="shared" si="4"/>
        <v>Kosong</v>
      </c>
      <c r="AD30" s="2">
        <f>'Data Siswa'!G25</f>
        <v>0</v>
      </c>
      <c r="AE30" s="2" t="str">
        <f t="shared" si="5"/>
        <v/>
      </c>
      <c r="AF30" s="2" t="str">
        <f t="shared" si="6"/>
        <v/>
      </c>
    </row>
    <row r="31" spans="2:32">
      <c r="B31" s="236">
        <v>23</v>
      </c>
      <c r="C31" s="236" t="str">
        <f>'Data Siswa'!C26&amp;""</f>
        <v/>
      </c>
      <c r="D31" s="237" t="str">
        <f>'Data Siswa'!F26&amp;""</f>
        <v/>
      </c>
      <c r="E31" s="475"/>
      <c r="F31" s="401" t="str">
        <f>IFERROR(ROUND(USD!J33/Sat,Digit),"")</f>
        <v/>
      </c>
      <c r="G31" s="401" t="str">
        <f>IFERROR(ROUND(USD!N33/Sat,Digit),"")</f>
        <v/>
      </c>
      <c r="H31" s="401" t="str">
        <f>IFERROR(ROUND(USD!R33/Sat,Digit),"")</f>
        <v/>
      </c>
      <c r="I31" s="401" t="str">
        <f>IFERROR(ROUND(USD!V33/Sat,Digit),"")</f>
        <v/>
      </c>
      <c r="J31" s="401" t="str">
        <f>IFERROR(ROUND(USD!Z33/Sat,Digit),"")</f>
        <v/>
      </c>
      <c r="K31" s="401" t="str">
        <f>IFERROR(ROUND(USD!AD33/Sat,Digit),"")</f>
        <v/>
      </c>
      <c r="L31" s="401" t="str">
        <f>IFERROR(ROUND(USD!AH33/Sat,Digit),"")</f>
        <v/>
      </c>
      <c r="M31" s="401" t="str">
        <f>IFERROR(ROUND(USD!AL33/Sat,Digit),"")</f>
        <v/>
      </c>
      <c r="N31" s="401" t="str">
        <f>IFERROR(ROUND(USD!AP33/Sat,Digit),"")</f>
        <v/>
      </c>
      <c r="O31" s="401" t="str">
        <f>IFERROR(ROUND(USD!AT33/Sat,Digit),"")</f>
        <v/>
      </c>
      <c r="P31" s="401" t="str">
        <f>IFERROR(ROUND(USD!AX33/Sat,Digit),"")</f>
        <v/>
      </c>
      <c r="Q31" s="238" t="str">
        <f t="shared" si="0"/>
        <v/>
      </c>
      <c r="R31" s="423" t="str">
        <f t="shared" si="1"/>
        <v/>
      </c>
      <c r="S31" s="239" t="str">
        <f t="shared" si="2"/>
        <v/>
      </c>
      <c r="T31" s="292" t="str">
        <f t="shared" si="3"/>
        <v/>
      </c>
      <c r="V31" s="71" t="str">
        <f t="shared" si="4"/>
        <v>Kosong</v>
      </c>
      <c r="AD31" s="2">
        <f>'Data Siswa'!G26</f>
        <v>0</v>
      </c>
      <c r="AE31" s="2" t="str">
        <f t="shared" si="5"/>
        <v/>
      </c>
      <c r="AF31" s="2" t="str">
        <f t="shared" si="6"/>
        <v/>
      </c>
    </row>
    <row r="32" spans="2:32">
      <c r="B32" s="236">
        <v>24</v>
      </c>
      <c r="C32" s="236" t="str">
        <f>'Data Siswa'!C27&amp;""</f>
        <v/>
      </c>
      <c r="D32" s="237" t="str">
        <f>'Data Siswa'!F27&amp;""</f>
        <v/>
      </c>
      <c r="E32" s="475"/>
      <c r="F32" s="401" t="str">
        <f>IFERROR(ROUND(USD!J34/Sat,Digit),"")</f>
        <v/>
      </c>
      <c r="G32" s="401" t="str">
        <f>IFERROR(ROUND(USD!N34/Sat,Digit),"")</f>
        <v/>
      </c>
      <c r="H32" s="401" t="str">
        <f>IFERROR(ROUND(USD!R34/Sat,Digit),"")</f>
        <v/>
      </c>
      <c r="I32" s="401" t="str">
        <f>IFERROR(ROUND(USD!V34/Sat,Digit),"")</f>
        <v/>
      </c>
      <c r="J32" s="401" t="str">
        <f>IFERROR(ROUND(USD!Z34/Sat,Digit),"")</f>
        <v/>
      </c>
      <c r="K32" s="401" t="str">
        <f>IFERROR(ROUND(USD!AD34/Sat,Digit),"")</f>
        <v/>
      </c>
      <c r="L32" s="401" t="str">
        <f>IFERROR(ROUND(USD!AH34/Sat,Digit),"")</f>
        <v/>
      </c>
      <c r="M32" s="401" t="str">
        <f>IFERROR(ROUND(USD!AL34/Sat,Digit),"")</f>
        <v/>
      </c>
      <c r="N32" s="401" t="str">
        <f>IFERROR(ROUND(USD!AP34/Sat,Digit),"")</f>
        <v/>
      </c>
      <c r="O32" s="401" t="str">
        <f>IFERROR(ROUND(USD!AT34/Sat,Digit),"")</f>
        <v/>
      </c>
      <c r="P32" s="401" t="str">
        <f>IFERROR(ROUND(USD!AX34/Sat,Digit),"")</f>
        <v/>
      </c>
      <c r="Q32" s="238" t="str">
        <f t="shared" si="0"/>
        <v/>
      </c>
      <c r="R32" s="423" t="str">
        <f t="shared" si="1"/>
        <v/>
      </c>
      <c r="S32" s="239" t="str">
        <f t="shared" si="2"/>
        <v/>
      </c>
      <c r="T32" s="292" t="str">
        <f t="shared" si="3"/>
        <v/>
      </c>
      <c r="V32" s="71" t="str">
        <f t="shared" si="4"/>
        <v>Kosong</v>
      </c>
      <c r="AD32" s="2">
        <f>'Data Siswa'!G27</f>
        <v>0</v>
      </c>
      <c r="AE32" s="2" t="str">
        <f t="shared" si="5"/>
        <v/>
      </c>
      <c r="AF32" s="2" t="str">
        <f t="shared" si="6"/>
        <v/>
      </c>
    </row>
    <row r="33" spans="2:32">
      <c r="B33" s="236">
        <v>25</v>
      </c>
      <c r="C33" s="236" t="str">
        <f>'Data Siswa'!C28&amp;""</f>
        <v/>
      </c>
      <c r="D33" s="237" t="str">
        <f>'Data Siswa'!F28&amp;""</f>
        <v/>
      </c>
      <c r="E33" s="475"/>
      <c r="F33" s="401" t="str">
        <f>IFERROR(ROUND(USD!J35/Sat,Digit),"")</f>
        <v/>
      </c>
      <c r="G33" s="401" t="str">
        <f>IFERROR(ROUND(USD!N35/Sat,Digit),"")</f>
        <v/>
      </c>
      <c r="H33" s="401" t="str">
        <f>IFERROR(ROUND(USD!R35/Sat,Digit),"")</f>
        <v/>
      </c>
      <c r="I33" s="401" t="str">
        <f>IFERROR(ROUND(USD!V35/Sat,Digit),"")</f>
        <v/>
      </c>
      <c r="J33" s="401" t="str">
        <f>IFERROR(ROUND(USD!Z35/Sat,Digit),"")</f>
        <v/>
      </c>
      <c r="K33" s="401" t="str">
        <f>IFERROR(ROUND(USD!AD35/Sat,Digit),"")</f>
        <v/>
      </c>
      <c r="L33" s="401" t="str">
        <f>IFERROR(ROUND(USD!AH35/Sat,Digit),"")</f>
        <v/>
      </c>
      <c r="M33" s="401" t="str">
        <f>IFERROR(ROUND(USD!AL35/Sat,Digit),"")</f>
        <v/>
      </c>
      <c r="N33" s="401" t="str">
        <f>IFERROR(ROUND(USD!AP35/Sat,Digit),"")</f>
        <v/>
      </c>
      <c r="O33" s="401" t="str">
        <f>IFERROR(ROUND(USD!AT35/Sat,Digit),"")</f>
        <v/>
      </c>
      <c r="P33" s="401" t="str">
        <f>IFERROR(ROUND(USD!AX35/Sat,Digit),"")</f>
        <v/>
      </c>
      <c r="Q33" s="238" t="str">
        <f t="shared" si="0"/>
        <v/>
      </c>
      <c r="R33" s="423" t="str">
        <f t="shared" si="1"/>
        <v/>
      </c>
      <c r="S33" s="239" t="str">
        <f t="shared" si="2"/>
        <v/>
      </c>
      <c r="T33" s="292" t="str">
        <f t="shared" si="3"/>
        <v/>
      </c>
      <c r="V33" s="71" t="str">
        <f t="shared" si="4"/>
        <v>Kosong</v>
      </c>
      <c r="AD33" s="2">
        <f>'Data Siswa'!G28</f>
        <v>0</v>
      </c>
      <c r="AE33" s="2" t="str">
        <f t="shared" si="5"/>
        <v/>
      </c>
      <c r="AF33" s="2" t="str">
        <f t="shared" si="6"/>
        <v/>
      </c>
    </row>
    <row r="34" spans="2:32">
      <c r="B34" s="236">
        <v>26</v>
      </c>
      <c r="C34" s="236" t="str">
        <f>'Data Siswa'!C29&amp;""</f>
        <v/>
      </c>
      <c r="D34" s="237" t="str">
        <f>'Data Siswa'!F29&amp;""</f>
        <v/>
      </c>
      <c r="E34" s="475"/>
      <c r="F34" s="401" t="str">
        <f>IFERROR(ROUND(USD!J36/Sat,Digit),"")</f>
        <v/>
      </c>
      <c r="G34" s="401" t="str">
        <f>IFERROR(ROUND(USD!N36/Sat,Digit),"")</f>
        <v/>
      </c>
      <c r="H34" s="401" t="str">
        <f>IFERROR(ROUND(USD!R36/Sat,Digit),"")</f>
        <v/>
      </c>
      <c r="I34" s="401" t="str">
        <f>IFERROR(ROUND(USD!V36/Sat,Digit),"")</f>
        <v/>
      </c>
      <c r="J34" s="401" t="str">
        <f>IFERROR(ROUND(USD!Z36/Sat,Digit),"")</f>
        <v/>
      </c>
      <c r="K34" s="401" t="str">
        <f>IFERROR(ROUND(USD!AD36/Sat,Digit),"")</f>
        <v/>
      </c>
      <c r="L34" s="401" t="str">
        <f>IFERROR(ROUND(USD!AH36/Sat,Digit),"")</f>
        <v/>
      </c>
      <c r="M34" s="401" t="str">
        <f>IFERROR(ROUND(USD!AL36/Sat,Digit),"")</f>
        <v/>
      </c>
      <c r="N34" s="401" t="str">
        <f>IFERROR(ROUND(USD!AP36/Sat,Digit),"")</f>
        <v/>
      </c>
      <c r="O34" s="401" t="str">
        <f>IFERROR(ROUND(USD!AT36/Sat,Digit),"")</f>
        <v/>
      </c>
      <c r="P34" s="401" t="str">
        <f>IFERROR(ROUND(USD!AX36/Sat,Digit),"")</f>
        <v/>
      </c>
      <c r="Q34" s="238" t="str">
        <f t="shared" si="0"/>
        <v/>
      </c>
      <c r="R34" s="423" t="str">
        <f t="shared" si="1"/>
        <v/>
      </c>
      <c r="S34" s="239" t="str">
        <f t="shared" si="2"/>
        <v/>
      </c>
      <c r="T34" s="292" t="str">
        <f t="shared" si="3"/>
        <v/>
      </c>
      <c r="V34" s="71" t="str">
        <f t="shared" si="4"/>
        <v>Kosong</v>
      </c>
      <c r="AD34" s="2">
        <f>'Data Siswa'!G29</f>
        <v>0</v>
      </c>
      <c r="AE34" s="2" t="str">
        <f t="shared" si="5"/>
        <v/>
      </c>
      <c r="AF34" s="2" t="str">
        <f t="shared" si="6"/>
        <v/>
      </c>
    </row>
    <row r="35" spans="2:32">
      <c r="B35" s="236">
        <v>27</v>
      </c>
      <c r="C35" s="236" t="str">
        <f>'Data Siswa'!C30&amp;""</f>
        <v/>
      </c>
      <c r="D35" s="237" t="str">
        <f>'Data Siswa'!F30&amp;""</f>
        <v/>
      </c>
      <c r="E35" s="475"/>
      <c r="F35" s="401" t="str">
        <f>IFERROR(ROUND(USD!J37/Sat,Digit),"")</f>
        <v/>
      </c>
      <c r="G35" s="401" t="str">
        <f>IFERROR(ROUND(USD!N37/Sat,Digit),"")</f>
        <v/>
      </c>
      <c r="H35" s="401" t="str">
        <f>IFERROR(ROUND(USD!R37/Sat,Digit),"")</f>
        <v/>
      </c>
      <c r="I35" s="401" t="str">
        <f>IFERROR(ROUND(USD!V37/Sat,Digit),"")</f>
        <v/>
      </c>
      <c r="J35" s="401" t="str">
        <f>IFERROR(ROUND(USD!Z37/Sat,Digit),"")</f>
        <v/>
      </c>
      <c r="K35" s="401" t="str">
        <f>IFERROR(ROUND(USD!AD37/Sat,Digit),"")</f>
        <v/>
      </c>
      <c r="L35" s="401" t="str">
        <f>IFERROR(ROUND(USD!AH37/Sat,Digit),"")</f>
        <v/>
      </c>
      <c r="M35" s="401" t="str">
        <f>IFERROR(ROUND(USD!AL37/Sat,Digit),"")</f>
        <v/>
      </c>
      <c r="N35" s="401" t="str">
        <f>IFERROR(ROUND(USD!AP37/Sat,Digit),"")</f>
        <v/>
      </c>
      <c r="O35" s="401" t="str">
        <f>IFERROR(ROUND(USD!AT37/Sat,Digit),"")</f>
        <v/>
      </c>
      <c r="P35" s="401" t="str">
        <f>IFERROR(ROUND(USD!AX37/Sat,Digit),"")</f>
        <v/>
      </c>
      <c r="Q35" s="238" t="str">
        <f t="shared" si="0"/>
        <v/>
      </c>
      <c r="R35" s="423" t="str">
        <f t="shared" si="1"/>
        <v/>
      </c>
      <c r="S35" s="239" t="str">
        <f t="shared" si="2"/>
        <v/>
      </c>
      <c r="T35" s="292" t="str">
        <f t="shared" si="3"/>
        <v/>
      </c>
      <c r="V35" s="71" t="str">
        <f t="shared" si="4"/>
        <v>Kosong</v>
      </c>
      <c r="AD35" s="2">
        <f>'Data Siswa'!G30</f>
        <v>0</v>
      </c>
      <c r="AE35" s="2" t="str">
        <f t="shared" si="5"/>
        <v/>
      </c>
      <c r="AF35" s="2" t="str">
        <f t="shared" si="6"/>
        <v/>
      </c>
    </row>
    <row r="36" spans="2:32">
      <c r="B36" s="236">
        <v>28</v>
      </c>
      <c r="C36" s="236" t="str">
        <f>'Data Siswa'!C31&amp;""</f>
        <v/>
      </c>
      <c r="D36" s="237" t="str">
        <f>'Data Siswa'!F31&amp;""</f>
        <v/>
      </c>
      <c r="E36" s="475"/>
      <c r="F36" s="401" t="str">
        <f>IFERROR(ROUND(USD!J38/Sat,Digit),"")</f>
        <v/>
      </c>
      <c r="G36" s="401" t="str">
        <f>IFERROR(ROUND(USD!N38/Sat,Digit),"")</f>
        <v/>
      </c>
      <c r="H36" s="401" t="str">
        <f>IFERROR(ROUND(USD!R38/Sat,Digit),"")</f>
        <v/>
      </c>
      <c r="I36" s="401" t="str">
        <f>IFERROR(ROUND(USD!V38/Sat,Digit),"")</f>
        <v/>
      </c>
      <c r="J36" s="401" t="str">
        <f>IFERROR(ROUND(USD!Z38/Sat,Digit),"")</f>
        <v/>
      </c>
      <c r="K36" s="401" t="str">
        <f>IFERROR(ROUND(USD!AD38/Sat,Digit),"")</f>
        <v/>
      </c>
      <c r="L36" s="401" t="str">
        <f>IFERROR(ROUND(USD!AH38/Sat,Digit),"")</f>
        <v/>
      </c>
      <c r="M36" s="401" t="str">
        <f>IFERROR(ROUND(USD!AL38/Sat,Digit),"")</f>
        <v/>
      </c>
      <c r="N36" s="401" t="str">
        <f>IFERROR(ROUND(USD!AP38/Sat,Digit),"")</f>
        <v/>
      </c>
      <c r="O36" s="401" t="str">
        <f>IFERROR(ROUND(USD!AT38/Sat,Digit),"")</f>
        <v/>
      </c>
      <c r="P36" s="401" t="str">
        <f>IFERROR(ROUND(USD!AX38/Sat,Digit),"")</f>
        <v/>
      </c>
      <c r="Q36" s="238" t="str">
        <f t="shared" si="0"/>
        <v/>
      </c>
      <c r="R36" s="423" t="str">
        <f t="shared" si="1"/>
        <v/>
      </c>
      <c r="S36" s="239" t="str">
        <f t="shared" si="2"/>
        <v/>
      </c>
      <c r="T36" s="292" t="str">
        <f t="shared" si="3"/>
        <v/>
      </c>
      <c r="V36" s="71" t="str">
        <f t="shared" si="4"/>
        <v>Kosong</v>
      </c>
      <c r="AD36" s="2">
        <f>'Data Siswa'!G31</f>
        <v>0</v>
      </c>
      <c r="AE36" s="2" t="str">
        <f t="shared" si="5"/>
        <v/>
      </c>
      <c r="AF36" s="2" t="str">
        <f t="shared" si="6"/>
        <v/>
      </c>
    </row>
    <row r="37" spans="2:32">
      <c r="B37" s="236">
        <v>29</v>
      </c>
      <c r="C37" s="236" t="str">
        <f>'Data Siswa'!C32&amp;""</f>
        <v/>
      </c>
      <c r="D37" s="237" t="str">
        <f>'Data Siswa'!F32&amp;""</f>
        <v/>
      </c>
      <c r="E37" s="475"/>
      <c r="F37" s="401" t="str">
        <f>IFERROR(ROUND(USD!J39/Sat,Digit),"")</f>
        <v/>
      </c>
      <c r="G37" s="401" t="str">
        <f>IFERROR(ROUND(USD!N39/Sat,Digit),"")</f>
        <v/>
      </c>
      <c r="H37" s="401" t="str">
        <f>IFERROR(ROUND(USD!R39/Sat,Digit),"")</f>
        <v/>
      </c>
      <c r="I37" s="401" t="str">
        <f>IFERROR(ROUND(USD!V39/Sat,Digit),"")</f>
        <v/>
      </c>
      <c r="J37" s="401" t="str">
        <f>IFERROR(ROUND(USD!Z39/Sat,Digit),"")</f>
        <v/>
      </c>
      <c r="K37" s="401" t="str">
        <f>IFERROR(ROUND(USD!AD39/Sat,Digit),"")</f>
        <v/>
      </c>
      <c r="L37" s="401" t="str">
        <f>IFERROR(ROUND(USD!AH39/Sat,Digit),"")</f>
        <v/>
      </c>
      <c r="M37" s="401" t="str">
        <f>IFERROR(ROUND(USD!AL39/Sat,Digit),"")</f>
        <v/>
      </c>
      <c r="N37" s="401" t="str">
        <f>IFERROR(ROUND(USD!AP39/Sat,Digit),"")</f>
        <v/>
      </c>
      <c r="O37" s="401" t="str">
        <f>IFERROR(ROUND(USD!AT39/Sat,Digit),"")</f>
        <v/>
      </c>
      <c r="P37" s="401" t="str">
        <f>IFERROR(ROUND(USD!AX39/Sat,Digit),"")</f>
        <v/>
      </c>
      <c r="Q37" s="238" t="str">
        <f t="shared" si="0"/>
        <v/>
      </c>
      <c r="R37" s="423" t="str">
        <f t="shared" si="1"/>
        <v/>
      </c>
      <c r="S37" s="239" t="str">
        <f t="shared" si="2"/>
        <v/>
      </c>
      <c r="T37" s="292" t="str">
        <f t="shared" si="3"/>
        <v/>
      </c>
      <c r="V37" s="71" t="str">
        <f t="shared" si="4"/>
        <v>Kosong</v>
      </c>
      <c r="AD37" s="2">
        <f>'Data Siswa'!G32</f>
        <v>0</v>
      </c>
      <c r="AE37" s="2" t="str">
        <f t="shared" si="5"/>
        <v/>
      </c>
      <c r="AF37" s="2" t="str">
        <f t="shared" si="6"/>
        <v/>
      </c>
    </row>
    <row r="38" spans="2:32">
      <c r="B38" s="236">
        <v>30</v>
      </c>
      <c r="C38" s="236" t="str">
        <f>'Data Siswa'!C33&amp;""</f>
        <v/>
      </c>
      <c r="D38" s="237" t="str">
        <f>'Data Siswa'!F33&amp;""</f>
        <v/>
      </c>
      <c r="E38" s="475"/>
      <c r="F38" s="401" t="str">
        <f>IFERROR(ROUND(USD!J40/Sat,Digit),"")</f>
        <v/>
      </c>
      <c r="G38" s="401" t="str">
        <f>IFERROR(ROUND(USD!N40/Sat,Digit),"")</f>
        <v/>
      </c>
      <c r="H38" s="401" t="str">
        <f>IFERROR(ROUND(USD!R40/Sat,Digit),"")</f>
        <v/>
      </c>
      <c r="I38" s="401" t="str">
        <f>IFERROR(ROUND(USD!V40/Sat,Digit),"")</f>
        <v/>
      </c>
      <c r="J38" s="401" t="str">
        <f>IFERROR(ROUND(USD!Z40/Sat,Digit),"")</f>
        <v/>
      </c>
      <c r="K38" s="401" t="str">
        <f>IFERROR(ROUND(USD!AD40/Sat,Digit),"")</f>
        <v/>
      </c>
      <c r="L38" s="401" t="str">
        <f>IFERROR(ROUND(USD!AH40/Sat,Digit),"")</f>
        <v/>
      </c>
      <c r="M38" s="401" t="str">
        <f>IFERROR(ROUND(USD!AL40/Sat,Digit),"")</f>
        <v/>
      </c>
      <c r="N38" s="401" t="str">
        <f>IFERROR(ROUND(USD!AP40/Sat,Digit),"")</f>
        <v/>
      </c>
      <c r="O38" s="401" t="str">
        <f>IFERROR(ROUND(USD!AT40/Sat,Digit),"")</f>
        <v/>
      </c>
      <c r="P38" s="401" t="str">
        <f>IFERROR(ROUND(USD!AX40/Sat,Digit),"")</f>
        <v/>
      </c>
      <c r="Q38" s="238" t="str">
        <f t="shared" si="0"/>
        <v/>
      </c>
      <c r="R38" s="423" t="str">
        <f t="shared" si="1"/>
        <v/>
      </c>
      <c r="S38" s="239" t="str">
        <f t="shared" si="2"/>
        <v/>
      </c>
      <c r="T38" s="292" t="str">
        <f t="shared" si="3"/>
        <v/>
      </c>
      <c r="V38" s="71" t="str">
        <f t="shared" si="4"/>
        <v>Kosong</v>
      </c>
      <c r="AD38" s="2">
        <f>'Data Siswa'!G33</f>
        <v>0</v>
      </c>
      <c r="AE38" s="2" t="str">
        <f t="shared" si="5"/>
        <v/>
      </c>
      <c r="AF38" s="2" t="str">
        <f t="shared" si="6"/>
        <v/>
      </c>
    </row>
    <row r="39" spans="2:32">
      <c r="B39" s="236">
        <v>31</v>
      </c>
      <c r="C39" s="236" t="str">
        <f>'Data Siswa'!C34&amp;""</f>
        <v/>
      </c>
      <c r="D39" s="237" t="str">
        <f>'Data Siswa'!F34&amp;""</f>
        <v/>
      </c>
      <c r="E39" s="475"/>
      <c r="F39" s="401" t="str">
        <f>IFERROR(ROUND(USD!J41/Sat,Digit),"")</f>
        <v/>
      </c>
      <c r="G39" s="401" t="str">
        <f>IFERROR(ROUND(USD!N41/Sat,Digit),"")</f>
        <v/>
      </c>
      <c r="H39" s="401" t="str">
        <f>IFERROR(ROUND(USD!R41/Sat,Digit),"")</f>
        <v/>
      </c>
      <c r="I39" s="401" t="str">
        <f>IFERROR(ROUND(USD!V41/Sat,Digit),"")</f>
        <v/>
      </c>
      <c r="J39" s="401" t="str">
        <f>IFERROR(ROUND(USD!Z41/Sat,Digit),"")</f>
        <v/>
      </c>
      <c r="K39" s="401" t="str">
        <f>IFERROR(ROUND(USD!AD41/Sat,Digit),"")</f>
        <v/>
      </c>
      <c r="L39" s="401" t="str">
        <f>IFERROR(ROUND(USD!AH41/Sat,Digit),"")</f>
        <v/>
      </c>
      <c r="M39" s="401" t="str">
        <f>IFERROR(ROUND(USD!AL41/Sat,Digit),"")</f>
        <v/>
      </c>
      <c r="N39" s="401" t="str">
        <f>IFERROR(ROUND(USD!AP41/Sat,Digit),"")</f>
        <v/>
      </c>
      <c r="O39" s="401" t="str">
        <f>IFERROR(ROUND(USD!AT41/Sat,Digit),"")</f>
        <v/>
      </c>
      <c r="P39" s="401" t="str">
        <f>IFERROR(ROUND(USD!AX41/Sat,Digit),"")</f>
        <v/>
      </c>
      <c r="Q39" s="238" t="str">
        <f t="shared" si="0"/>
        <v/>
      </c>
      <c r="R39" s="423" t="str">
        <f t="shared" si="1"/>
        <v/>
      </c>
      <c r="S39" s="239" t="str">
        <f t="shared" si="2"/>
        <v/>
      </c>
      <c r="T39" s="292" t="str">
        <f t="shared" si="3"/>
        <v/>
      </c>
      <c r="V39" s="71" t="str">
        <f t="shared" si="4"/>
        <v>Kosong</v>
      </c>
      <c r="AD39" s="2">
        <f>'Data Siswa'!G34</f>
        <v>0</v>
      </c>
      <c r="AE39" s="2" t="str">
        <f t="shared" si="5"/>
        <v/>
      </c>
      <c r="AF39" s="2" t="str">
        <f t="shared" si="6"/>
        <v/>
      </c>
    </row>
    <row r="40" spans="2:32">
      <c r="B40" s="236">
        <v>32</v>
      </c>
      <c r="C40" s="236" t="str">
        <f>'Data Siswa'!C35&amp;""</f>
        <v/>
      </c>
      <c r="D40" s="237" t="str">
        <f>'Data Siswa'!F35&amp;""</f>
        <v/>
      </c>
      <c r="E40" s="475"/>
      <c r="F40" s="401" t="str">
        <f>IFERROR(ROUND(USD!J42/Sat,Digit),"")</f>
        <v/>
      </c>
      <c r="G40" s="401" t="str">
        <f>IFERROR(ROUND(USD!N42/Sat,Digit),"")</f>
        <v/>
      </c>
      <c r="H40" s="401" t="str">
        <f>IFERROR(ROUND(USD!R42/Sat,Digit),"")</f>
        <v/>
      </c>
      <c r="I40" s="401" t="str">
        <f>IFERROR(ROUND(USD!V42/Sat,Digit),"")</f>
        <v/>
      </c>
      <c r="J40" s="401" t="str">
        <f>IFERROR(ROUND(USD!Z42/Sat,Digit),"")</f>
        <v/>
      </c>
      <c r="K40" s="401" t="str">
        <f>IFERROR(ROUND(USD!AD42/Sat,Digit),"")</f>
        <v/>
      </c>
      <c r="L40" s="401" t="str">
        <f>IFERROR(ROUND(USD!AH42/Sat,Digit),"")</f>
        <v/>
      </c>
      <c r="M40" s="401" t="str">
        <f>IFERROR(ROUND(USD!AL42/Sat,Digit),"")</f>
        <v/>
      </c>
      <c r="N40" s="401" t="str">
        <f>IFERROR(ROUND(USD!AP42/Sat,Digit),"")</f>
        <v/>
      </c>
      <c r="O40" s="401" t="str">
        <f>IFERROR(ROUND(USD!AT42/Sat,Digit),"")</f>
        <v/>
      </c>
      <c r="P40" s="401" t="str">
        <f>IFERROR(ROUND(USD!AX42/Sat,Digit),"")</f>
        <v/>
      </c>
      <c r="Q40" s="238" t="str">
        <f t="shared" si="0"/>
        <v/>
      </c>
      <c r="R40" s="423" t="str">
        <f t="shared" si="1"/>
        <v/>
      </c>
      <c r="S40" s="239" t="str">
        <f t="shared" si="2"/>
        <v/>
      </c>
      <c r="T40" s="292" t="str">
        <f t="shared" si="3"/>
        <v/>
      </c>
      <c r="V40" s="71" t="str">
        <f t="shared" si="4"/>
        <v>Kosong</v>
      </c>
      <c r="AD40" s="2">
        <f>'Data Siswa'!G35</f>
        <v>0</v>
      </c>
      <c r="AE40" s="2" t="str">
        <f t="shared" si="5"/>
        <v/>
      </c>
      <c r="AF40" s="2" t="str">
        <f t="shared" si="6"/>
        <v/>
      </c>
    </row>
    <row r="41" spans="2:32">
      <c r="B41" s="236">
        <v>33</v>
      </c>
      <c r="C41" s="236" t="str">
        <f>'Data Siswa'!C36&amp;""</f>
        <v/>
      </c>
      <c r="D41" s="237" t="str">
        <f>'Data Siswa'!F36&amp;""</f>
        <v/>
      </c>
      <c r="E41" s="475"/>
      <c r="F41" s="401" t="str">
        <f>IFERROR(ROUND(USD!J43/Sat,Digit),"")</f>
        <v/>
      </c>
      <c r="G41" s="401" t="str">
        <f>IFERROR(ROUND(USD!N43/Sat,Digit),"")</f>
        <v/>
      </c>
      <c r="H41" s="401" t="str">
        <f>IFERROR(ROUND(USD!R43/Sat,Digit),"")</f>
        <v/>
      </c>
      <c r="I41" s="401" t="str">
        <f>IFERROR(ROUND(USD!V43/Sat,Digit),"")</f>
        <v/>
      </c>
      <c r="J41" s="401" t="str">
        <f>IFERROR(ROUND(USD!Z43/Sat,Digit),"")</f>
        <v/>
      </c>
      <c r="K41" s="401" t="str">
        <f>IFERROR(ROUND(USD!AD43/Sat,Digit),"")</f>
        <v/>
      </c>
      <c r="L41" s="401" t="str">
        <f>IFERROR(ROUND(USD!AH43/Sat,Digit),"")</f>
        <v/>
      </c>
      <c r="M41" s="401" t="str">
        <f>IFERROR(ROUND(USD!AL43/Sat,Digit),"")</f>
        <v/>
      </c>
      <c r="N41" s="401" t="str">
        <f>IFERROR(ROUND(USD!AP43/Sat,Digit),"")</f>
        <v/>
      </c>
      <c r="O41" s="401" t="str">
        <f>IFERROR(ROUND(USD!AT43/Sat,Digit),"")</f>
        <v/>
      </c>
      <c r="P41" s="401" t="str">
        <f>IFERROR(ROUND(USD!AX43/Sat,Digit),"")</f>
        <v/>
      </c>
      <c r="Q41" s="238" t="str">
        <f t="shared" ref="Q41:Q58" si="7">IF(SUM(F41:P41)=0,"",SUM(F41:P41))</f>
        <v/>
      </c>
      <c r="R41" s="423" t="str">
        <f t="shared" ref="R41:R58" si="8">IFERROR(ROUND(AVERAGE(F41:P41)/Sat,Digit_rata_rapor),"")</f>
        <v/>
      </c>
      <c r="S41" s="239" t="str">
        <f t="shared" si="2"/>
        <v/>
      </c>
      <c r="T41" s="292" t="str">
        <f t="shared" si="3"/>
        <v/>
      </c>
      <c r="V41" s="71" t="str">
        <f t="shared" si="4"/>
        <v>Kosong</v>
      </c>
      <c r="AD41" s="2">
        <f>'Data Siswa'!G36</f>
        <v>0</v>
      </c>
      <c r="AE41" s="2" t="str">
        <f t="shared" si="5"/>
        <v/>
      </c>
      <c r="AF41" s="2" t="str">
        <f t="shared" si="6"/>
        <v/>
      </c>
    </row>
    <row r="42" spans="2:32">
      <c r="B42" s="236">
        <v>34</v>
      </c>
      <c r="C42" s="236" t="str">
        <f>'Data Siswa'!C37&amp;""</f>
        <v/>
      </c>
      <c r="D42" s="237" t="str">
        <f>'Data Siswa'!F37&amp;""</f>
        <v/>
      </c>
      <c r="E42" s="475"/>
      <c r="F42" s="401" t="str">
        <f>IFERROR(ROUND(USD!J44/Sat,Digit),"")</f>
        <v/>
      </c>
      <c r="G42" s="401" t="str">
        <f>IFERROR(ROUND(USD!N44/Sat,Digit),"")</f>
        <v/>
      </c>
      <c r="H42" s="401" t="str">
        <f>IFERROR(ROUND(USD!R44/Sat,Digit),"")</f>
        <v/>
      </c>
      <c r="I42" s="401" t="str">
        <f>IFERROR(ROUND(USD!V44/Sat,Digit),"")</f>
        <v/>
      </c>
      <c r="J42" s="401" t="str">
        <f>IFERROR(ROUND(USD!Z44/Sat,Digit),"")</f>
        <v/>
      </c>
      <c r="K42" s="401" t="str">
        <f>IFERROR(ROUND(USD!AD44/Sat,Digit),"")</f>
        <v/>
      </c>
      <c r="L42" s="401" t="str">
        <f>IFERROR(ROUND(USD!AH44/Sat,Digit),"")</f>
        <v/>
      </c>
      <c r="M42" s="401" t="str">
        <f>IFERROR(ROUND(USD!AL44/Sat,Digit),"")</f>
        <v/>
      </c>
      <c r="N42" s="401" t="str">
        <f>IFERROR(ROUND(USD!AP44/Sat,Digit),"")</f>
        <v/>
      </c>
      <c r="O42" s="401" t="str">
        <f>IFERROR(ROUND(USD!AT44/Sat,Digit),"")</f>
        <v/>
      </c>
      <c r="P42" s="401" t="str">
        <f>IFERROR(ROUND(USD!AX44/Sat,Digit),"")</f>
        <v/>
      </c>
      <c r="Q42" s="238" t="str">
        <f t="shared" si="7"/>
        <v/>
      </c>
      <c r="R42" s="423" t="str">
        <f t="shared" si="8"/>
        <v/>
      </c>
      <c r="S42" s="239" t="str">
        <f t="shared" si="2"/>
        <v/>
      </c>
      <c r="T42" s="292" t="str">
        <f t="shared" si="3"/>
        <v/>
      </c>
      <c r="V42" s="71" t="str">
        <f t="shared" si="4"/>
        <v>Kosong</v>
      </c>
      <c r="AD42" s="2">
        <f>'Data Siswa'!G37</f>
        <v>0</v>
      </c>
      <c r="AE42" s="2" t="str">
        <f t="shared" si="5"/>
        <v/>
      </c>
      <c r="AF42" s="2" t="str">
        <f t="shared" si="6"/>
        <v/>
      </c>
    </row>
    <row r="43" spans="2:32">
      <c r="B43" s="236">
        <v>35</v>
      </c>
      <c r="C43" s="236" t="str">
        <f>'Data Siswa'!C38&amp;""</f>
        <v/>
      </c>
      <c r="D43" s="237" t="str">
        <f>'Data Siswa'!F38&amp;""</f>
        <v/>
      </c>
      <c r="E43" s="475"/>
      <c r="F43" s="401" t="str">
        <f>IFERROR(ROUND(USD!J45/Sat,Digit),"")</f>
        <v/>
      </c>
      <c r="G43" s="401" t="str">
        <f>IFERROR(ROUND(USD!N45/Sat,Digit),"")</f>
        <v/>
      </c>
      <c r="H43" s="401" t="str">
        <f>IFERROR(ROUND(USD!R45/Sat,Digit),"")</f>
        <v/>
      </c>
      <c r="I43" s="401" t="str">
        <f>IFERROR(ROUND(USD!V45/Sat,Digit),"")</f>
        <v/>
      </c>
      <c r="J43" s="401" t="str">
        <f>IFERROR(ROUND(USD!Z45/Sat,Digit),"")</f>
        <v/>
      </c>
      <c r="K43" s="401" t="str">
        <f>IFERROR(ROUND(USD!AD45/Sat,Digit),"")</f>
        <v/>
      </c>
      <c r="L43" s="401" t="str">
        <f>IFERROR(ROUND(USD!AH45/Sat,Digit),"")</f>
        <v/>
      </c>
      <c r="M43" s="401" t="str">
        <f>IFERROR(ROUND(USD!AL45/Sat,Digit),"")</f>
        <v/>
      </c>
      <c r="N43" s="401" t="str">
        <f>IFERROR(ROUND(USD!AP45/Sat,Digit),"")</f>
        <v/>
      </c>
      <c r="O43" s="401" t="str">
        <f>IFERROR(ROUND(USD!AT45/Sat,Digit),"")</f>
        <v/>
      </c>
      <c r="P43" s="401" t="str">
        <f>IFERROR(ROUND(USD!AX45/Sat,Digit),"")</f>
        <v/>
      </c>
      <c r="Q43" s="238" t="str">
        <f t="shared" si="7"/>
        <v/>
      </c>
      <c r="R43" s="423" t="str">
        <f t="shared" si="8"/>
        <v/>
      </c>
      <c r="S43" s="239" t="str">
        <f t="shared" si="2"/>
        <v/>
      </c>
      <c r="T43" s="292" t="str">
        <f t="shared" si="3"/>
        <v/>
      </c>
      <c r="V43" s="71" t="str">
        <f t="shared" si="4"/>
        <v>Kosong</v>
      </c>
      <c r="AD43" s="2">
        <f>'Data Siswa'!G38</f>
        <v>0</v>
      </c>
      <c r="AE43" s="2" t="str">
        <f t="shared" si="5"/>
        <v/>
      </c>
      <c r="AF43" s="2" t="str">
        <f t="shared" si="6"/>
        <v/>
      </c>
    </row>
    <row r="44" spans="2:32">
      <c r="B44" s="236">
        <v>36</v>
      </c>
      <c r="C44" s="236" t="str">
        <f>'Data Siswa'!C39&amp;""</f>
        <v/>
      </c>
      <c r="D44" s="237" t="str">
        <f>'Data Siswa'!F39&amp;""</f>
        <v/>
      </c>
      <c r="E44" s="475"/>
      <c r="F44" s="401" t="str">
        <f>IFERROR(ROUND(USD!J46/Sat,Digit),"")</f>
        <v/>
      </c>
      <c r="G44" s="401" t="str">
        <f>IFERROR(ROUND(USD!N46/Sat,Digit),"")</f>
        <v/>
      </c>
      <c r="H44" s="401" t="str">
        <f>IFERROR(ROUND(USD!R46/Sat,Digit),"")</f>
        <v/>
      </c>
      <c r="I44" s="401" t="str">
        <f>IFERROR(ROUND(USD!V46/Sat,Digit),"")</f>
        <v/>
      </c>
      <c r="J44" s="401" t="str">
        <f>IFERROR(ROUND(USD!Z46/Sat,Digit),"")</f>
        <v/>
      </c>
      <c r="K44" s="401" t="str">
        <f>IFERROR(ROUND(USD!AD46/Sat,Digit),"")</f>
        <v/>
      </c>
      <c r="L44" s="401" t="str">
        <f>IFERROR(ROUND(USD!AH46/Sat,Digit),"")</f>
        <v/>
      </c>
      <c r="M44" s="401" t="str">
        <f>IFERROR(ROUND(USD!AL46/Sat,Digit),"")</f>
        <v/>
      </c>
      <c r="N44" s="401" t="str">
        <f>IFERROR(ROUND(USD!AP46/Sat,Digit),"")</f>
        <v/>
      </c>
      <c r="O44" s="401" t="str">
        <f>IFERROR(ROUND(USD!AT46/Sat,Digit),"")</f>
        <v/>
      </c>
      <c r="P44" s="401" t="str">
        <f>IFERROR(ROUND(USD!AX46/Sat,Digit),"")</f>
        <v/>
      </c>
      <c r="Q44" s="238" t="str">
        <f t="shared" si="7"/>
        <v/>
      </c>
      <c r="R44" s="423" t="str">
        <f t="shared" si="8"/>
        <v/>
      </c>
      <c r="S44" s="239" t="str">
        <f t="shared" si="2"/>
        <v/>
      </c>
      <c r="T44" s="292" t="str">
        <f t="shared" si="3"/>
        <v/>
      </c>
      <c r="V44" s="71" t="str">
        <f t="shared" si="4"/>
        <v>Kosong</v>
      </c>
      <c r="AD44" s="2">
        <f>'Data Siswa'!G39</f>
        <v>0</v>
      </c>
      <c r="AE44" s="2" t="str">
        <f t="shared" si="5"/>
        <v/>
      </c>
      <c r="AF44" s="2" t="str">
        <f t="shared" si="6"/>
        <v/>
      </c>
    </row>
    <row r="45" spans="2:32">
      <c r="B45" s="236">
        <v>37</v>
      </c>
      <c r="C45" s="236" t="str">
        <f>'Data Siswa'!C40&amp;""</f>
        <v/>
      </c>
      <c r="D45" s="237" t="str">
        <f>'Data Siswa'!F40&amp;""</f>
        <v/>
      </c>
      <c r="E45" s="475"/>
      <c r="F45" s="401" t="str">
        <f>IFERROR(ROUND(USD!J47/Sat,Digit),"")</f>
        <v/>
      </c>
      <c r="G45" s="401" t="str">
        <f>IFERROR(ROUND(USD!N47/Sat,Digit),"")</f>
        <v/>
      </c>
      <c r="H45" s="401" t="str">
        <f>IFERROR(ROUND(USD!R47/Sat,Digit),"")</f>
        <v/>
      </c>
      <c r="I45" s="401" t="str">
        <f>IFERROR(ROUND(USD!V47/Sat,Digit),"")</f>
        <v/>
      </c>
      <c r="J45" s="401" t="str">
        <f>IFERROR(ROUND(USD!Z47/Sat,Digit),"")</f>
        <v/>
      </c>
      <c r="K45" s="401" t="str">
        <f>IFERROR(ROUND(USD!AD47/Sat,Digit),"")</f>
        <v/>
      </c>
      <c r="L45" s="401" t="str">
        <f>IFERROR(ROUND(USD!AH47/Sat,Digit),"")</f>
        <v/>
      </c>
      <c r="M45" s="401" t="str">
        <f>IFERROR(ROUND(USD!AL47/Sat,Digit),"")</f>
        <v/>
      </c>
      <c r="N45" s="401" t="str">
        <f>IFERROR(ROUND(USD!AP47/Sat,Digit),"")</f>
        <v/>
      </c>
      <c r="O45" s="401" t="str">
        <f>IFERROR(ROUND(USD!AT47/Sat,Digit),"")</f>
        <v/>
      </c>
      <c r="P45" s="401" t="str">
        <f>IFERROR(ROUND(USD!AX47/Sat,Digit),"")</f>
        <v/>
      </c>
      <c r="Q45" s="238" t="str">
        <f t="shared" si="7"/>
        <v/>
      </c>
      <c r="R45" s="423" t="str">
        <f t="shared" si="8"/>
        <v/>
      </c>
      <c r="S45" s="239" t="str">
        <f t="shared" si="2"/>
        <v/>
      </c>
      <c r="T45" s="292" t="str">
        <f t="shared" si="3"/>
        <v/>
      </c>
      <c r="V45" s="71" t="str">
        <f t="shared" si="4"/>
        <v>Kosong</v>
      </c>
      <c r="AD45" s="2">
        <f>'Data Siswa'!G40</f>
        <v>0</v>
      </c>
      <c r="AE45" s="2" t="str">
        <f t="shared" si="5"/>
        <v/>
      </c>
      <c r="AF45" s="2" t="str">
        <f t="shared" si="6"/>
        <v/>
      </c>
    </row>
    <row r="46" spans="2:32">
      <c r="B46" s="236">
        <v>38</v>
      </c>
      <c r="C46" s="236" t="str">
        <f>'Data Siswa'!C41&amp;""</f>
        <v/>
      </c>
      <c r="D46" s="237" t="str">
        <f>'Data Siswa'!F41&amp;""</f>
        <v/>
      </c>
      <c r="E46" s="475"/>
      <c r="F46" s="401" t="str">
        <f>IFERROR(ROUND(USD!J48/Sat,Digit),"")</f>
        <v/>
      </c>
      <c r="G46" s="401" t="str">
        <f>IFERROR(ROUND(USD!N48/Sat,Digit),"")</f>
        <v/>
      </c>
      <c r="H46" s="401" t="str">
        <f>IFERROR(ROUND(USD!R48/Sat,Digit),"")</f>
        <v/>
      </c>
      <c r="I46" s="401" t="str">
        <f>IFERROR(ROUND(USD!V48/Sat,Digit),"")</f>
        <v/>
      </c>
      <c r="J46" s="401" t="str">
        <f>IFERROR(ROUND(USD!Z48/Sat,Digit),"")</f>
        <v/>
      </c>
      <c r="K46" s="401" t="str">
        <f>IFERROR(ROUND(USD!AD48/Sat,Digit),"")</f>
        <v/>
      </c>
      <c r="L46" s="401" t="str">
        <f>IFERROR(ROUND(USD!AH48/Sat,Digit),"")</f>
        <v/>
      </c>
      <c r="M46" s="401" t="str">
        <f>IFERROR(ROUND(USD!AL48/Sat,Digit),"")</f>
        <v/>
      </c>
      <c r="N46" s="401" t="str">
        <f>IFERROR(ROUND(USD!AP48/Sat,Digit),"")</f>
        <v/>
      </c>
      <c r="O46" s="401" t="str">
        <f>IFERROR(ROUND(USD!AT48/Sat,Digit),"")</f>
        <v/>
      </c>
      <c r="P46" s="401" t="str">
        <f>IFERROR(ROUND(USD!AX48/Sat,Digit),"")</f>
        <v/>
      </c>
      <c r="Q46" s="238" t="str">
        <f t="shared" si="7"/>
        <v/>
      </c>
      <c r="R46" s="423" t="str">
        <f t="shared" si="8"/>
        <v/>
      </c>
      <c r="S46" s="239" t="str">
        <f t="shared" si="2"/>
        <v/>
      </c>
      <c r="T46" s="292" t="str">
        <f t="shared" si="3"/>
        <v/>
      </c>
      <c r="V46" s="71" t="str">
        <f t="shared" si="4"/>
        <v>Kosong</v>
      </c>
      <c r="AD46" s="2">
        <f>'Data Siswa'!G41</f>
        <v>0</v>
      </c>
      <c r="AE46" s="2" t="str">
        <f t="shared" si="5"/>
        <v/>
      </c>
      <c r="AF46" s="2" t="str">
        <f t="shared" si="6"/>
        <v/>
      </c>
    </row>
    <row r="47" spans="2:32">
      <c r="B47" s="236">
        <v>39</v>
      </c>
      <c r="C47" s="236" t="str">
        <f>'Data Siswa'!C42&amp;""</f>
        <v/>
      </c>
      <c r="D47" s="237" t="str">
        <f>'Data Siswa'!F42&amp;""</f>
        <v/>
      </c>
      <c r="E47" s="475"/>
      <c r="F47" s="401" t="str">
        <f>IFERROR(ROUND(USD!J49/Sat,Digit),"")</f>
        <v/>
      </c>
      <c r="G47" s="401" t="str">
        <f>IFERROR(ROUND(USD!N49/Sat,Digit),"")</f>
        <v/>
      </c>
      <c r="H47" s="401" t="str">
        <f>IFERROR(ROUND(USD!R49/Sat,Digit),"")</f>
        <v/>
      </c>
      <c r="I47" s="401" t="str">
        <f>IFERROR(ROUND(USD!V49/Sat,Digit),"")</f>
        <v/>
      </c>
      <c r="J47" s="401" t="str">
        <f>IFERROR(ROUND(USD!Z49/Sat,Digit),"")</f>
        <v/>
      </c>
      <c r="K47" s="401" t="str">
        <f>IFERROR(ROUND(USD!AD49/Sat,Digit),"")</f>
        <v/>
      </c>
      <c r="L47" s="401" t="str">
        <f>IFERROR(ROUND(USD!AH49/Sat,Digit),"")</f>
        <v/>
      </c>
      <c r="M47" s="401" t="str">
        <f>IFERROR(ROUND(USD!AL49/Sat,Digit),"")</f>
        <v/>
      </c>
      <c r="N47" s="401" t="str">
        <f>IFERROR(ROUND(USD!AP49/Sat,Digit),"")</f>
        <v/>
      </c>
      <c r="O47" s="401" t="str">
        <f>IFERROR(ROUND(USD!AT49/Sat,Digit),"")</f>
        <v/>
      </c>
      <c r="P47" s="401" t="str">
        <f>IFERROR(ROUND(USD!AX49/Sat,Digit),"")</f>
        <v/>
      </c>
      <c r="Q47" s="238" t="str">
        <f t="shared" si="7"/>
        <v/>
      </c>
      <c r="R47" s="423" t="str">
        <f t="shared" si="8"/>
        <v/>
      </c>
      <c r="S47" s="239" t="str">
        <f t="shared" si="2"/>
        <v/>
      </c>
      <c r="T47" s="292" t="str">
        <f t="shared" si="3"/>
        <v/>
      </c>
      <c r="V47" s="71" t="str">
        <f t="shared" si="4"/>
        <v>Kosong</v>
      </c>
      <c r="AD47" s="2">
        <f>'Data Siswa'!G42</f>
        <v>0</v>
      </c>
      <c r="AE47" s="2" t="str">
        <f t="shared" si="5"/>
        <v/>
      </c>
      <c r="AF47" s="2" t="str">
        <f t="shared" si="6"/>
        <v/>
      </c>
    </row>
    <row r="48" spans="2:32">
      <c r="B48" s="236">
        <v>40</v>
      </c>
      <c r="C48" s="236" t="str">
        <f>'Data Siswa'!C43&amp;""</f>
        <v/>
      </c>
      <c r="D48" s="237" t="str">
        <f>'Data Siswa'!F43&amp;""</f>
        <v/>
      </c>
      <c r="E48" s="475"/>
      <c r="F48" s="401" t="str">
        <f>IFERROR(ROUND(USD!J50/Sat,Digit),"")</f>
        <v/>
      </c>
      <c r="G48" s="401" t="str">
        <f>IFERROR(ROUND(USD!N50/Sat,Digit),"")</f>
        <v/>
      </c>
      <c r="H48" s="401" t="str">
        <f>IFERROR(ROUND(USD!R50/Sat,Digit),"")</f>
        <v/>
      </c>
      <c r="I48" s="401" t="str">
        <f>IFERROR(ROUND(USD!V50/Sat,Digit),"")</f>
        <v/>
      </c>
      <c r="J48" s="401" t="str">
        <f>IFERROR(ROUND(USD!Z50/Sat,Digit),"")</f>
        <v/>
      </c>
      <c r="K48" s="401" t="str">
        <f>IFERROR(ROUND(USD!AD50/Sat,Digit),"")</f>
        <v/>
      </c>
      <c r="L48" s="401" t="str">
        <f>IFERROR(ROUND(USD!AH50/Sat,Digit),"")</f>
        <v/>
      </c>
      <c r="M48" s="401" t="str">
        <f>IFERROR(ROUND(USD!AL50/Sat,Digit),"")</f>
        <v/>
      </c>
      <c r="N48" s="401" t="str">
        <f>IFERROR(ROUND(USD!AP50/Sat,Digit),"")</f>
        <v/>
      </c>
      <c r="O48" s="401" t="str">
        <f>IFERROR(ROUND(USD!AT50/Sat,Digit),"")</f>
        <v/>
      </c>
      <c r="P48" s="401" t="str">
        <f>IFERROR(ROUND(USD!AX50/Sat,Digit),"")</f>
        <v/>
      </c>
      <c r="Q48" s="238" t="str">
        <f t="shared" si="7"/>
        <v/>
      </c>
      <c r="R48" s="423" t="str">
        <f t="shared" si="8"/>
        <v/>
      </c>
      <c r="S48" s="239" t="str">
        <f t="shared" si="2"/>
        <v/>
      </c>
      <c r="T48" s="292" t="str">
        <f t="shared" si="3"/>
        <v/>
      </c>
      <c r="V48" s="71" t="str">
        <f t="shared" si="4"/>
        <v>Kosong</v>
      </c>
      <c r="AD48" s="2">
        <f>'Data Siswa'!G43</f>
        <v>0</v>
      </c>
      <c r="AE48" s="2" t="str">
        <f t="shared" si="5"/>
        <v/>
      </c>
      <c r="AF48" s="2" t="str">
        <f t="shared" si="6"/>
        <v/>
      </c>
    </row>
    <row r="49" spans="2:32">
      <c r="B49" s="236">
        <v>41</v>
      </c>
      <c r="C49" s="236" t="str">
        <f>'Data Siswa'!C44&amp;""</f>
        <v/>
      </c>
      <c r="D49" s="237" t="str">
        <f>'Data Siswa'!F44&amp;""</f>
        <v/>
      </c>
      <c r="E49" s="475"/>
      <c r="F49" s="401" t="str">
        <f>IFERROR(ROUND(USD!J51/Sat,Digit),"")</f>
        <v/>
      </c>
      <c r="G49" s="401" t="str">
        <f>IFERROR(ROUND(USD!N51/Sat,Digit),"")</f>
        <v/>
      </c>
      <c r="H49" s="401" t="str">
        <f>IFERROR(ROUND(USD!R51/Sat,Digit),"")</f>
        <v/>
      </c>
      <c r="I49" s="401" t="str">
        <f>IFERROR(ROUND(USD!V51/Sat,Digit),"")</f>
        <v/>
      </c>
      <c r="J49" s="401" t="str">
        <f>IFERROR(ROUND(USD!Z51/Sat,Digit),"")</f>
        <v/>
      </c>
      <c r="K49" s="401" t="str">
        <f>IFERROR(ROUND(USD!AD51/Sat,Digit),"")</f>
        <v/>
      </c>
      <c r="L49" s="401" t="str">
        <f>IFERROR(ROUND(USD!AH51/Sat,Digit),"")</f>
        <v/>
      </c>
      <c r="M49" s="401" t="str">
        <f>IFERROR(ROUND(USD!AL51/Sat,Digit),"")</f>
        <v/>
      </c>
      <c r="N49" s="401" t="str">
        <f>IFERROR(ROUND(USD!AP51/Sat,Digit),"")</f>
        <v/>
      </c>
      <c r="O49" s="401" t="str">
        <f>IFERROR(ROUND(USD!AT51/Sat,Digit),"")</f>
        <v/>
      </c>
      <c r="P49" s="401" t="str">
        <f>IFERROR(ROUND(USD!AX51/Sat,Digit),"")</f>
        <v/>
      </c>
      <c r="Q49" s="238" t="str">
        <f t="shared" si="7"/>
        <v/>
      </c>
      <c r="R49" s="423" t="str">
        <f t="shared" si="8"/>
        <v/>
      </c>
      <c r="S49" s="239" t="str">
        <f t="shared" si="2"/>
        <v/>
      </c>
      <c r="T49" s="292" t="str">
        <f t="shared" si="3"/>
        <v/>
      </c>
      <c r="V49" s="71" t="str">
        <f t="shared" si="4"/>
        <v>Kosong</v>
      </c>
      <c r="AD49" s="2">
        <f>'Data Siswa'!G44</f>
        <v>0</v>
      </c>
      <c r="AE49" s="2" t="str">
        <f t="shared" si="5"/>
        <v/>
      </c>
      <c r="AF49" s="2" t="str">
        <f t="shared" si="6"/>
        <v/>
      </c>
    </row>
    <row r="50" spans="2:32">
      <c r="B50" s="236">
        <v>42</v>
      </c>
      <c r="C50" s="236" t="str">
        <f>'Data Siswa'!C45&amp;""</f>
        <v/>
      </c>
      <c r="D50" s="237" t="str">
        <f>'Data Siswa'!F45&amp;""</f>
        <v/>
      </c>
      <c r="E50" s="475"/>
      <c r="F50" s="401" t="str">
        <f>IFERROR(ROUND(USD!J52/Sat,Digit),"")</f>
        <v/>
      </c>
      <c r="G50" s="401" t="str">
        <f>IFERROR(ROUND(USD!N52/Sat,Digit),"")</f>
        <v/>
      </c>
      <c r="H50" s="401" t="str">
        <f>IFERROR(ROUND(USD!R52/Sat,Digit),"")</f>
        <v/>
      </c>
      <c r="I50" s="401" t="str">
        <f>IFERROR(ROUND(USD!V52/Sat,Digit),"")</f>
        <v/>
      </c>
      <c r="J50" s="401" t="str">
        <f>IFERROR(ROUND(USD!Z52/Sat,Digit),"")</f>
        <v/>
      </c>
      <c r="K50" s="401" t="str">
        <f>IFERROR(ROUND(USD!AD52/Sat,Digit),"")</f>
        <v/>
      </c>
      <c r="L50" s="401" t="str">
        <f>IFERROR(ROUND(USD!AH52/Sat,Digit),"")</f>
        <v/>
      </c>
      <c r="M50" s="401" t="str">
        <f>IFERROR(ROUND(USD!AL52/Sat,Digit),"")</f>
        <v/>
      </c>
      <c r="N50" s="401" t="str">
        <f>IFERROR(ROUND(USD!AP52/Sat,Digit),"")</f>
        <v/>
      </c>
      <c r="O50" s="401" t="str">
        <f>IFERROR(ROUND(USD!AT52/Sat,Digit),"")</f>
        <v/>
      </c>
      <c r="P50" s="401" t="str">
        <f>IFERROR(ROUND(USD!AX52/Sat,Digit),"")</f>
        <v/>
      </c>
      <c r="Q50" s="238" t="str">
        <f t="shared" si="7"/>
        <v/>
      </c>
      <c r="R50" s="423" t="str">
        <f t="shared" si="8"/>
        <v/>
      </c>
      <c r="S50" s="239" t="str">
        <f t="shared" si="2"/>
        <v/>
      </c>
      <c r="T50" s="292" t="str">
        <f t="shared" si="3"/>
        <v/>
      </c>
      <c r="V50" s="71" t="str">
        <f t="shared" si="4"/>
        <v>Kosong</v>
      </c>
      <c r="AD50" s="2">
        <f>'Data Siswa'!G45</f>
        <v>0</v>
      </c>
      <c r="AE50" s="2" t="str">
        <f t="shared" si="5"/>
        <v/>
      </c>
      <c r="AF50" s="2" t="str">
        <f t="shared" si="6"/>
        <v/>
      </c>
    </row>
    <row r="51" spans="2:32">
      <c r="B51" s="236">
        <v>43</v>
      </c>
      <c r="C51" s="236" t="str">
        <f>'Data Siswa'!C46&amp;""</f>
        <v/>
      </c>
      <c r="D51" s="237" t="str">
        <f>'Data Siswa'!F46&amp;""</f>
        <v/>
      </c>
      <c r="E51" s="475"/>
      <c r="F51" s="401" t="str">
        <f>IFERROR(ROUND(USD!J53/Sat,Digit),"")</f>
        <v/>
      </c>
      <c r="G51" s="401" t="str">
        <f>IFERROR(ROUND(USD!N53/Sat,Digit),"")</f>
        <v/>
      </c>
      <c r="H51" s="401" t="str">
        <f>IFERROR(ROUND(USD!R53/Sat,Digit),"")</f>
        <v/>
      </c>
      <c r="I51" s="401" t="str">
        <f>IFERROR(ROUND(USD!V53/Sat,Digit),"")</f>
        <v/>
      </c>
      <c r="J51" s="401" t="str">
        <f>IFERROR(ROUND(USD!Z53/Sat,Digit),"")</f>
        <v/>
      </c>
      <c r="K51" s="401" t="str">
        <f>IFERROR(ROUND(USD!AD53/Sat,Digit),"")</f>
        <v/>
      </c>
      <c r="L51" s="401" t="str">
        <f>IFERROR(ROUND(USD!AH53/Sat,Digit),"")</f>
        <v/>
      </c>
      <c r="M51" s="401" t="str">
        <f>IFERROR(ROUND(USD!AL53/Sat,Digit),"")</f>
        <v/>
      </c>
      <c r="N51" s="401" t="str">
        <f>IFERROR(ROUND(USD!AP53/Sat,Digit),"")</f>
        <v/>
      </c>
      <c r="O51" s="401" t="str">
        <f>IFERROR(ROUND(USD!AT53/Sat,Digit),"")</f>
        <v/>
      </c>
      <c r="P51" s="401" t="str">
        <f>IFERROR(ROUND(USD!AX53/Sat,Digit),"")</f>
        <v/>
      </c>
      <c r="Q51" s="238" t="str">
        <f t="shared" si="7"/>
        <v/>
      </c>
      <c r="R51" s="423" t="str">
        <f t="shared" si="8"/>
        <v/>
      </c>
      <c r="S51" s="239" t="str">
        <f t="shared" si="2"/>
        <v/>
      </c>
      <c r="T51" s="292" t="str">
        <f t="shared" si="3"/>
        <v/>
      </c>
      <c r="V51" s="71" t="str">
        <f t="shared" si="4"/>
        <v>Kosong</v>
      </c>
      <c r="AD51" s="2">
        <f>'Data Siswa'!G46</f>
        <v>0</v>
      </c>
      <c r="AE51" s="2" t="str">
        <f t="shared" si="5"/>
        <v/>
      </c>
      <c r="AF51" s="2" t="str">
        <f t="shared" si="6"/>
        <v/>
      </c>
    </row>
    <row r="52" spans="2:32">
      <c r="B52" s="236">
        <v>44</v>
      </c>
      <c r="C52" s="236" t="str">
        <f>'Data Siswa'!C47&amp;""</f>
        <v/>
      </c>
      <c r="D52" s="237" t="str">
        <f>'Data Siswa'!F47&amp;""</f>
        <v/>
      </c>
      <c r="E52" s="475"/>
      <c r="F52" s="401" t="str">
        <f>IFERROR(ROUND(USD!J54/Sat,Digit),"")</f>
        <v/>
      </c>
      <c r="G52" s="401" t="str">
        <f>IFERROR(ROUND(USD!N54/Sat,Digit),"")</f>
        <v/>
      </c>
      <c r="H52" s="401" t="str">
        <f>IFERROR(ROUND(USD!R54/Sat,Digit),"")</f>
        <v/>
      </c>
      <c r="I52" s="401" t="str">
        <f>IFERROR(ROUND(USD!V54/Sat,Digit),"")</f>
        <v/>
      </c>
      <c r="J52" s="401" t="str">
        <f>IFERROR(ROUND(USD!Z54/Sat,Digit),"")</f>
        <v/>
      </c>
      <c r="K52" s="401" t="str">
        <f>IFERROR(ROUND(USD!AD54/Sat,Digit),"")</f>
        <v/>
      </c>
      <c r="L52" s="401" t="str">
        <f>IFERROR(ROUND(USD!AH54/Sat,Digit),"")</f>
        <v/>
      </c>
      <c r="M52" s="401" t="str">
        <f>IFERROR(ROUND(USD!AL54/Sat,Digit),"")</f>
        <v/>
      </c>
      <c r="N52" s="401" t="str">
        <f>IFERROR(ROUND(USD!AP54/Sat,Digit),"")</f>
        <v/>
      </c>
      <c r="O52" s="401" t="str">
        <f>IFERROR(ROUND(USD!AT54/Sat,Digit),"")</f>
        <v/>
      </c>
      <c r="P52" s="401" t="str">
        <f>IFERROR(ROUND(USD!AX54/Sat,Digit),"")</f>
        <v/>
      </c>
      <c r="Q52" s="238" t="str">
        <f t="shared" si="7"/>
        <v/>
      </c>
      <c r="R52" s="423" t="str">
        <f t="shared" si="8"/>
        <v/>
      </c>
      <c r="S52" s="239" t="str">
        <f t="shared" si="2"/>
        <v/>
      </c>
      <c r="T52" s="292" t="str">
        <f t="shared" si="3"/>
        <v/>
      </c>
      <c r="V52" s="71" t="str">
        <f t="shared" si="4"/>
        <v>Kosong</v>
      </c>
      <c r="AD52" s="2">
        <f>'Data Siswa'!G47</f>
        <v>0</v>
      </c>
      <c r="AE52" s="2" t="str">
        <f t="shared" si="5"/>
        <v/>
      </c>
      <c r="AF52" s="2" t="str">
        <f t="shared" si="6"/>
        <v/>
      </c>
    </row>
    <row r="53" spans="2:32">
      <c r="B53" s="236">
        <v>45</v>
      </c>
      <c r="C53" s="236" t="str">
        <f>'Data Siswa'!C48&amp;""</f>
        <v/>
      </c>
      <c r="D53" s="237" t="str">
        <f>'Data Siswa'!F48&amp;""</f>
        <v/>
      </c>
      <c r="E53" s="475"/>
      <c r="F53" s="401" t="str">
        <f>IFERROR(ROUND(USD!J55/Sat,Digit),"")</f>
        <v/>
      </c>
      <c r="G53" s="401" t="str">
        <f>IFERROR(ROUND(USD!N55/Sat,Digit),"")</f>
        <v/>
      </c>
      <c r="H53" s="401" t="str">
        <f>IFERROR(ROUND(USD!R55/Sat,Digit),"")</f>
        <v/>
      </c>
      <c r="I53" s="401" t="str">
        <f>IFERROR(ROUND(USD!V55/Sat,Digit),"")</f>
        <v/>
      </c>
      <c r="J53" s="401" t="str">
        <f>IFERROR(ROUND(USD!Z55/Sat,Digit),"")</f>
        <v/>
      </c>
      <c r="K53" s="401" t="str">
        <f>IFERROR(ROUND(USD!AD55/Sat,Digit),"")</f>
        <v/>
      </c>
      <c r="L53" s="401" t="str">
        <f>IFERROR(ROUND(USD!AH55/Sat,Digit),"")</f>
        <v/>
      </c>
      <c r="M53" s="401" t="str">
        <f>IFERROR(ROUND(USD!AL55/Sat,Digit),"")</f>
        <v/>
      </c>
      <c r="N53" s="401" t="str">
        <f>IFERROR(ROUND(USD!AP55/Sat,Digit),"")</f>
        <v/>
      </c>
      <c r="O53" s="401" t="str">
        <f>IFERROR(ROUND(USD!AT55/Sat,Digit),"")</f>
        <v/>
      </c>
      <c r="P53" s="401" t="str">
        <f>IFERROR(ROUND(USD!AX55/Sat,Digit),"")</f>
        <v/>
      </c>
      <c r="Q53" s="238" t="str">
        <f t="shared" si="7"/>
        <v/>
      </c>
      <c r="R53" s="423" t="str">
        <f t="shared" si="8"/>
        <v/>
      </c>
      <c r="S53" s="239" t="str">
        <f t="shared" si="2"/>
        <v/>
      </c>
      <c r="T53" s="292" t="str">
        <f t="shared" si="3"/>
        <v/>
      </c>
      <c r="V53" s="71" t="str">
        <f t="shared" si="4"/>
        <v>Kosong</v>
      </c>
      <c r="AD53" s="2">
        <f>'Data Siswa'!G48</f>
        <v>0</v>
      </c>
      <c r="AE53" s="2" t="str">
        <f t="shared" si="5"/>
        <v/>
      </c>
      <c r="AF53" s="2" t="str">
        <f t="shared" si="6"/>
        <v/>
      </c>
    </row>
    <row r="54" spans="2:32">
      <c r="B54" s="236">
        <v>46</v>
      </c>
      <c r="C54" s="236" t="str">
        <f>'Data Siswa'!C49&amp;""</f>
        <v/>
      </c>
      <c r="D54" s="237" t="str">
        <f>'Data Siswa'!F49&amp;""</f>
        <v/>
      </c>
      <c r="E54" s="475"/>
      <c r="F54" s="401" t="str">
        <f>IFERROR(ROUND(USD!J56/Sat,Digit),"")</f>
        <v/>
      </c>
      <c r="G54" s="401" t="str">
        <f>IFERROR(ROUND(USD!N56/Sat,Digit),"")</f>
        <v/>
      </c>
      <c r="H54" s="401" t="str">
        <f>IFERROR(ROUND(USD!R56/Sat,Digit),"")</f>
        <v/>
      </c>
      <c r="I54" s="401" t="str">
        <f>IFERROR(ROUND(USD!V56/Sat,Digit),"")</f>
        <v/>
      </c>
      <c r="J54" s="401" t="str">
        <f>IFERROR(ROUND(USD!Z56/Sat,Digit),"")</f>
        <v/>
      </c>
      <c r="K54" s="401" t="str">
        <f>IFERROR(ROUND(USD!AD56/Sat,Digit),"")</f>
        <v/>
      </c>
      <c r="L54" s="401" t="str">
        <f>IFERROR(ROUND(USD!AH56/Sat,Digit),"")</f>
        <v/>
      </c>
      <c r="M54" s="401" t="str">
        <f>IFERROR(ROUND(USD!AL56/Sat,Digit),"")</f>
        <v/>
      </c>
      <c r="N54" s="401" t="str">
        <f>IFERROR(ROUND(USD!AP56/Sat,Digit),"")</f>
        <v/>
      </c>
      <c r="O54" s="401" t="str">
        <f>IFERROR(ROUND(USD!AT56/Sat,Digit),"")</f>
        <v/>
      </c>
      <c r="P54" s="401" t="str">
        <f>IFERROR(ROUND(USD!AX56/Sat,Digit),"")</f>
        <v/>
      </c>
      <c r="Q54" s="238" t="str">
        <f t="shared" si="7"/>
        <v/>
      </c>
      <c r="R54" s="423" t="str">
        <f t="shared" si="8"/>
        <v/>
      </c>
      <c r="S54" s="239" t="str">
        <f t="shared" si="2"/>
        <v/>
      </c>
      <c r="T54" s="292" t="str">
        <f t="shared" si="3"/>
        <v/>
      </c>
      <c r="V54" s="71" t="str">
        <f t="shared" si="4"/>
        <v>Kosong</v>
      </c>
      <c r="AD54" s="2">
        <f>'Data Siswa'!G49</f>
        <v>0</v>
      </c>
      <c r="AE54" s="2" t="str">
        <f t="shared" si="5"/>
        <v/>
      </c>
      <c r="AF54" s="2" t="str">
        <f t="shared" si="6"/>
        <v/>
      </c>
    </row>
    <row r="55" spans="2:32">
      <c r="B55" s="236">
        <v>47</v>
      </c>
      <c r="C55" s="236" t="str">
        <f>'Data Siswa'!C50&amp;""</f>
        <v/>
      </c>
      <c r="D55" s="237" t="str">
        <f>'Data Siswa'!F50&amp;""</f>
        <v/>
      </c>
      <c r="E55" s="475"/>
      <c r="F55" s="401" t="str">
        <f>IFERROR(ROUND(USD!J57/Sat,Digit),"")</f>
        <v/>
      </c>
      <c r="G55" s="401" t="str">
        <f>IFERROR(ROUND(USD!N57/Sat,Digit),"")</f>
        <v/>
      </c>
      <c r="H55" s="401" t="str">
        <f>IFERROR(ROUND(USD!R57/Sat,Digit),"")</f>
        <v/>
      </c>
      <c r="I55" s="401" t="str">
        <f>IFERROR(ROUND(USD!V57/Sat,Digit),"")</f>
        <v/>
      </c>
      <c r="J55" s="401" t="str">
        <f>IFERROR(ROUND(USD!Z57/Sat,Digit),"")</f>
        <v/>
      </c>
      <c r="K55" s="401" t="str">
        <f>IFERROR(ROUND(USD!AD57/Sat,Digit),"")</f>
        <v/>
      </c>
      <c r="L55" s="401" t="str">
        <f>IFERROR(ROUND(USD!AH57/Sat,Digit),"")</f>
        <v/>
      </c>
      <c r="M55" s="401" t="str">
        <f>IFERROR(ROUND(USD!AL57/Sat,Digit),"")</f>
        <v/>
      </c>
      <c r="N55" s="401" t="str">
        <f>IFERROR(ROUND(USD!AP57/Sat,Digit),"")</f>
        <v/>
      </c>
      <c r="O55" s="401" t="str">
        <f>IFERROR(ROUND(USD!AT57/Sat,Digit),"")</f>
        <v/>
      </c>
      <c r="P55" s="401" t="str">
        <f>IFERROR(ROUND(USD!AX57/Sat,Digit),"")</f>
        <v/>
      </c>
      <c r="Q55" s="238" t="str">
        <f t="shared" si="7"/>
        <v/>
      </c>
      <c r="R55" s="423" t="str">
        <f t="shared" si="8"/>
        <v/>
      </c>
      <c r="S55" s="239" t="str">
        <f t="shared" si="2"/>
        <v/>
      </c>
      <c r="T55" s="292" t="str">
        <f t="shared" si="3"/>
        <v/>
      </c>
      <c r="V55" s="71" t="str">
        <f t="shared" si="4"/>
        <v>Kosong</v>
      </c>
      <c r="AD55" s="2">
        <f>'Data Siswa'!G50</f>
        <v>0</v>
      </c>
      <c r="AE55" s="2" t="str">
        <f t="shared" si="5"/>
        <v/>
      </c>
      <c r="AF55" s="2" t="str">
        <f t="shared" si="6"/>
        <v/>
      </c>
    </row>
    <row r="56" spans="2:32">
      <c r="B56" s="236">
        <v>48</v>
      </c>
      <c r="C56" s="236" t="str">
        <f>'Data Siswa'!C51&amp;""</f>
        <v/>
      </c>
      <c r="D56" s="237" t="str">
        <f>'Data Siswa'!F51&amp;""</f>
        <v/>
      </c>
      <c r="E56" s="475"/>
      <c r="F56" s="401" t="str">
        <f>IFERROR(ROUND(USD!J58/Sat,Digit),"")</f>
        <v/>
      </c>
      <c r="G56" s="401" t="str">
        <f>IFERROR(ROUND(USD!N58/Sat,Digit),"")</f>
        <v/>
      </c>
      <c r="H56" s="401" t="str">
        <f>IFERROR(ROUND(USD!R58/Sat,Digit),"")</f>
        <v/>
      </c>
      <c r="I56" s="401" t="str">
        <f>IFERROR(ROUND(USD!V58/Sat,Digit),"")</f>
        <v/>
      </c>
      <c r="J56" s="401" t="str">
        <f>IFERROR(ROUND(USD!Z58/Sat,Digit),"")</f>
        <v/>
      </c>
      <c r="K56" s="401" t="str">
        <f>IFERROR(ROUND(USD!AD58/Sat,Digit),"")</f>
        <v/>
      </c>
      <c r="L56" s="401" t="str">
        <f>IFERROR(ROUND(USD!AH58/Sat,Digit),"")</f>
        <v/>
      </c>
      <c r="M56" s="401" t="str">
        <f>IFERROR(ROUND(USD!AL58/Sat,Digit),"")</f>
        <v/>
      </c>
      <c r="N56" s="401" t="str">
        <f>IFERROR(ROUND(USD!AP58/Sat,Digit),"")</f>
        <v/>
      </c>
      <c r="O56" s="401" t="str">
        <f>IFERROR(ROUND(USD!AT58/Sat,Digit),"")</f>
        <v/>
      </c>
      <c r="P56" s="401" t="str">
        <f>IFERROR(ROUND(USD!AX58/Sat,Digit),"")</f>
        <v/>
      </c>
      <c r="Q56" s="238" t="str">
        <f t="shared" si="7"/>
        <v/>
      </c>
      <c r="R56" s="423" t="str">
        <f t="shared" si="8"/>
        <v/>
      </c>
      <c r="S56" s="239" t="str">
        <f t="shared" si="2"/>
        <v/>
      </c>
      <c r="T56" s="292" t="str">
        <f t="shared" si="3"/>
        <v/>
      </c>
      <c r="V56" s="71" t="str">
        <f t="shared" si="4"/>
        <v>Kosong</v>
      </c>
      <c r="AD56" s="2">
        <f>'Data Siswa'!G51</f>
        <v>0</v>
      </c>
      <c r="AE56" s="2" t="str">
        <f t="shared" si="5"/>
        <v/>
      </c>
      <c r="AF56" s="2" t="str">
        <f t="shared" si="6"/>
        <v/>
      </c>
    </row>
    <row r="57" spans="2:32">
      <c r="B57" s="236">
        <v>49</v>
      </c>
      <c r="C57" s="236" t="str">
        <f>'Data Siswa'!C52&amp;""</f>
        <v/>
      </c>
      <c r="D57" s="237" t="str">
        <f>'Data Siswa'!F52&amp;""</f>
        <v/>
      </c>
      <c r="E57" s="475"/>
      <c r="F57" s="401" t="str">
        <f>IFERROR(ROUND(USD!J59/Sat,Digit),"")</f>
        <v/>
      </c>
      <c r="G57" s="401" t="str">
        <f>IFERROR(ROUND(USD!N59/Sat,Digit),"")</f>
        <v/>
      </c>
      <c r="H57" s="401" t="str">
        <f>IFERROR(ROUND(USD!R59/Sat,Digit),"")</f>
        <v/>
      </c>
      <c r="I57" s="401" t="str">
        <f>IFERROR(ROUND(USD!V59/Sat,Digit),"")</f>
        <v/>
      </c>
      <c r="J57" s="401" t="str">
        <f>IFERROR(ROUND(USD!Z59/Sat,Digit),"")</f>
        <v/>
      </c>
      <c r="K57" s="401" t="str">
        <f>IFERROR(ROUND(USD!AD59/Sat,Digit),"")</f>
        <v/>
      </c>
      <c r="L57" s="401" t="str">
        <f>IFERROR(ROUND(USD!AH59/Sat,Digit),"")</f>
        <v/>
      </c>
      <c r="M57" s="401" t="str">
        <f>IFERROR(ROUND(USD!AL59/Sat,Digit),"")</f>
        <v/>
      </c>
      <c r="N57" s="401" t="str">
        <f>IFERROR(ROUND(USD!AP59/Sat,Digit),"")</f>
        <v/>
      </c>
      <c r="O57" s="401" t="str">
        <f>IFERROR(ROUND(USD!AT59/Sat,Digit),"")</f>
        <v/>
      </c>
      <c r="P57" s="401" t="str">
        <f>IFERROR(ROUND(USD!AX59/Sat,Digit),"")</f>
        <v/>
      </c>
      <c r="Q57" s="238" t="str">
        <f t="shared" si="7"/>
        <v/>
      </c>
      <c r="R57" s="423" t="str">
        <f t="shared" si="8"/>
        <v/>
      </c>
      <c r="S57" s="239" t="str">
        <f t="shared" si="2"/>
        <v/>
      </c>
      <c r="T57" s="292" t="str">
        <f t="shared" si="3"/>
        <v/>
      </c>
      <c r="V57" s="71" t="str">
        <f t="shared" si="4"/>
        <v>Kosong</v>
      </c>
      <c r="AD57" s="2">
        <f>'Data Siswa'!G52</f>
        <v>0</v>
      </c>
      <c r="AE57" s="2" t="str">
        <f t="shared" si="5"/>
        <v/>
      </c>
      <c r="AF57" s="2" t="str">
        <f t="shared" si="6"/>
        <v/>
      </c>
    </row>
    <row r="58" spans="2:32">
      <c r="B58" s="236">
        <v>50</v>
      </c>
      <c r="C58" s="236" t="str">
        <f>'Data Siswa'!C53&amp;""</f>
        <v/>
      </c>
      <c r="D58" s="237" t="str">
        <f>'Data Siswa'!F53&amp;""</f>
        <v/>
      </c>
      <c r="E58" s="476"/>
      <c r="F58" s="401" t="str">
        <f>IFERROR(ROUND(USD!J60/Sat,Digit),"")</f>
        <v/>
      </c>
      <c r="G58" s="401" t="str">
        <f>IFERROR(ROUND(USD!N60/Sat,Digit),"")</f>
        <v/>
      </c>
      <c r="H58" s="401" t="str">
        <f>IFERROR(ROUND(USD!R60/Sat,Digit),"")</f>
        <v/>
      </c>
      <c r="I58" s="401" t="str">
        <f>IFERROR(ROUND(USD!V60/Sat,Digit),"")</f>
        <v/>
      </c>
      <c r="J58" s="401" t="str">
        <f>IFERROR(ROUND(USD!Z60/Sat,Digit),"")</f>
        <v/>
      </c>
      <c r="K58" s="401" t="str">
        <f>IFERROR(ROUND(USD!AD60/Sat,Digit),"")</f>
        <v/>
      </c>
      <c r="L58" s="401" t="str">
        <f>IFERROR(ROUND(USD!AH60/Sat,Digit),"")</f>
        <v/>
      </c>
      <c r="M58" s="401" t="str">
        <f>IFERROR(ROUND(USD!AL60/Sat,Digit),"")</f>
        <v/>
      </c>
      <c r="N58" s="401" t="str">
        <f>IFERROR(ROUND(USD!AP60/Sat,Digit),"")</f>
        <v/>
      </c>
      <c r="O58" s="401" t="str">
        <f>IFERROR(ROUND(USD!AT60/Sat,Digit),"")</f>
        <v/>
      </c>
      <c r="P58" s="401" t="str">
        <f>IFERROR(ROUND(USD!AX60/Sat,Digit),"")</f>
        <v/>
      </c>
      <c r="Q58" s="238" t="str">
        <f t="shared" si="7"/>
        <v/>
      </c>
      <c r="R58" s="423" t="str">
        <f t="shared" si="8"/>
        <v/>
      </c>
      <c r="S58" s="239" t="str">
        <f t="shared" si="2"/>
        <v/>
      </c>
      <c r="T58" s="292" t="str">
        <f t="shared" si="3"/>
        <v/>
      </c>
      <c r="V58" s="71" t="str">
        <f t="shared" si="4"/>
        <v>Kosong</v>
      </c>
      <c r="AD58" s="2">
        <f>'Data Siswa'!G53</f>
        <v>0</v>
      </c>
      <c r="AE58" s="2" t="str">
        <f t="shared" si="5"/>
        <v/>
      </c>
      <c r="AF58" s="2" t="str">
        <f t="shared" si="6"/>
        <v/>
      </c>
    </row>
    <row r="59" spans="2:32">
      <c r="AE59" s="2">
        <f>COUNTIF($AE$9:$AE$58,"L")</f>
        <v>0</v>
      </c>
      <c r="AF59" s="2">
        <f>COUNTIF($AF$9:$AF$58,"L")</f>
        <v>0</v>
      </c>
    </row>
    <row r="60" spans="2:32">
      <c r="N60" s="9" t="str">
        <f>Kabupaten&amp;", "&amp;TEXT(Tanggal,"DD MMMM YYYY")</f>
        <v>Wonogiri, 15 Juni 2022</v>
      </c>
      <c r="AE60" s="2">
        <f>COUNTIF($AE$9:$AE$58,"P")</f>
        <v>0</v>
      </c>
      <c r="AF60" s="2">
        <f>COUNTIF($AF$10:$AF$59,"P")</f>
        <v>0</v>
      </c>
    </row>
    <row r="61" spans="2:32">
      <c r="N61" s="9" t="str">
        <f>UPPER("Kepala"&amp;" "&amp;Nama_Sekolah)</f>
        <v>KEPALA SEKOLAH DASAR NEGERI 1 GIRIHARJO</v>
      </c>
      <c r="AE61" s="1" t="s">
        <v>84</v>
      </c>
      <c r="AF61" s="1" t="s">
        <v>195</v>
      </c>
    </row>
    <row r="62" spans="2:32">
      <c r="N62" s="9" t="str">
        <f>UPPER(Kab_Kota&amp;" "&amp;Kabupaten&amp;",")</f>
        <v>KABUPATEN WONOGIRI,</v>
      </c>
    </row>
    <row r="65" spans="2:14">
      <c r="N65" s="72">
        <f>Kepsek</f>
        <v>0</v>
      </c>
    </row>
    <row r="66" spans="2:14">
      <c r="N66" s="73">
        <f>NIP_Kepsek</f>
        <v>0</v>
      </c>
    </row>
    <row r="70" spans="2:14">
      <c r="B70" s="192" t="s">
        <v>134</v>
      </c>
    </row>
  </sheetData>
  <sheetProtection password="CC5B" sheet="1" objects="1" scenarios="1" formatCells="0" formatColumns="0" autoFilter="0"/>
  <autoFilter ref="V8:V58"/>
  <mergeCells count="9">
    <mergeCell ref="T7:T8"/>
    <mergeCell ref="S7:S8"/>
    <mergeCell ref="E9:E58"/>
    <mergeCell ref="B1:R1"/>
    <mergeCell ref="B7:B8"/>
    <mergeCell ref="C7:C8"/>
    <mergeCell ref="D7:D8"/>
    <mergeCell ref="Q7:Q8"/>
    <mergeCell ref="R7:R8"/>
  </mergeCells>
  <dataValidations count="1">
    <dataValidation type="decimal" allowBlank="1" showInputMessage="1" showErrorMessage="1" error="LIHAT PENGATURAN NILAI !" sqref="F7:O7">
      <formula1>$AC$13</formula1>
      <formula2>$AC$14</formula2>
    </dataValidation>
  </dataValidations>
  <pageMargins left="0.70866141732283472" right="0.31496062992125984" top="0.55118110236220474" bottom="0.35433070866141736" header="0.31496062992125984" footer="0.31496062992125984"/>
  <pageSetup paperSize="141" scale="84" orientation="landscape" horizontalDpi="4294967293" verticalDpi="4294967293" r:id="rId1"/>
  <colBreaks count="1" manualBreakCount="1">
    <brk id="21" max="1048575" man="1"/>
  </col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X79"/>
  <sheetViews>
    <sheetView showGridLines="0" zoomScale="80" zoomScaleNormal="80" zoomScaleSheetLayoutView="90" workbookViewId="0">
      <selection activeCell="N41" sqref="N41"/>
    </sheetView>
  </sheetViews>
  <sheetFormatPr defaultColWidth="0" defaultRowHeight="0" customHeight="1" zeroHeight="1"/>
  <cols>
    <col min="1" max="1" width="3.7265625" style="304" customWidth="1"/>
    <col min="2" max="2" width="15.453125" style="304" customWidth="1"/>
    <col min="3" max="3" width="5.7265625" style="304" customWidth="1"/>
    <col min="4" max="4" width="5.26953125" style="304" customWidth="1"/>
    <col min="5" max="5" width="14.453125" style="304" customWidth="1"/>
    <col min="6" max="6" width="2.1796875" style="304" customWidth="1"/>
    <col min="7" max="7" width="11.453125" style="304" customWidth="1"/>
    <col min="8" max="8" width="12" style="304" customWidth="1"/>
    <col min="9" max="9" width="9.7265625" style="304" customWidth="1"/>
    <col min="10" max="10" width="22.7265625" style="304" customWidth="1"/>
    <col min="11" max="11" width="15.1796875" style="304" customWidth="1"/>
    <col min="12" max="12" width="4.1796875" style="304" customWidth="1"/>
    <col min="13" max="13" width="4.1796875" style="303" customWidth="1"/>
    <col min="14" max="15" width="9.1796875" style="304" customWidth="1"/>
    <col min="16" max="16384" width="9.1796875" style="304" hidden="1"/>
  </cols>
  <sheetData>
    <row r="1" spans="1:17" ht="14">
      <c r="A1" s="302"/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</row>
    <row r="2" spans="1:17" ht="15.5">
      <c r="A2" s="302"/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2"/>
    </row>
    <row r="3" spans="1:17" ht="15.5">
      <c r="A3" s="302"/>
      <c r="B3" s="306"/>
      <c r="C3" s="303"/>
      <c r="D3" s="303"/>
      <c r="E3" s="303"/>
      <c r="F3" s="303"/>
      <c r="G3" s="303"/>
      <c r="H3" s="303"/>
      <c r="I3" s="303"/>
      <c r="J3" s="303"/>
      <c r="K3" s="303"/>
      <c r="L3" s="302"/>
    </row>
    <row r="4" spans="1:17" ht="15.5">
      <c r="A4" s="302"/>
      <c r="B4" s="306"/>
      <c r="C4" s="303"/>
      <c r="D4" s="303"/>
      <c r="E4" s="303"/>
      <c r="F4" s="303"/>
      <c r="G4" s="303"/>
      <c r="H4" s="303"/>
      <c r="I4" s="303"/>
      <c r="J4" s="303"/>
      <c r="K4" s="303"/>
      <c r="L4" s="302"/>
    </row>
    <row r="5" spans="1:17" s="325" customFormat="1" ht="13.5" customHeight="1">
      <c r="A5" s="302"/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2"/>
      <c r="M5" s="303"/>
      <c r="N5" s="307"/>
      <c r="O5" s="307"/>
      <c r="P5" s="307"/>
      <c r="Q5" s="307"/>
    </row>
    <row r="6" spans="1:17" s="325" customFormat="1" ht="15" customHeight="1">
      <c r="A6" s="302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2"/>
      <c r="M6" s="303"/>
      <c r="N6" s="307"/>
      <c r="O6" s="307"/>
      <c r="P6" s="307"/>
      <c r="Q6" s="307"/>
    </row>
    <row r="7" spans="1:17" s="325" customFormat="1" ht="15" customHeight="1">
      <c r="A7" s="302"/>
      <c r="B7" s="306"/>
      <c r="C7" s="308"/>
      <c r="D7" s="309"/>
      <c r="E7" s="309"/>
      <c r="F7" s="308"/>
      <c r="G7" s="308"/>
      <c r="H7" s="336" t="str">
        <f>UPPER("PEMERINTAH "&amp;Kab_Kota&amp;" "&amp;Kabupaten)</f>
        <v>PEMERINTAH KABUPATEN WONOGIRI</v>
      </c>
      <c r="I7" s="309"/>
      <c r="J7" s="309"/>
      <c r="K7" s="309"/>
      <c r="L7" s="302"/>
      <c r="M7" s="303"/>
      <c r="N7" s="310"/>
      <c r="O7" s="310"/>
      <c r="P7" s="310"/>
      <c r="Q7" s="310"/>
    </row>
    <row r="8" spans="1:17" s="325" customFormat="1" ht="15.5">
      <c r="A8" s="302"/>
      <c r="B8" s="306"/>
      <c r="C8" s="308"/>
      <c r="D8" s="306"/>
      <c r="E8" s="306"/>
      <c r="F8" s="308"/>
      <c r="G8" s="308"/>
      <c r="H8" s="336" t="str">
        <f>UPPER(Nama_Dinas)</f>
        <v>DINAS PENDIDIKAN DAN KEBUDAYAAN</v>
      </c>
      <c r="I8" s="309"/>
      <c r="J8" s="309"/>
      <c r="K8" s="309"/>
      <c r="L8" s="302"/>
      <c r="M8" s="303"/>
      <c r="N8" s="310"/>
      <c r="O8" s="310"/>
      <c r="P8" s="310"/>
      <c r="Q8" s="310"/>
    </row>
    <row r="9" spans="1:17" s="325" customFormat="1" ht="20">
      <c r="A9" s="302"/>
      <c r="B9" s="306"/>
      <c r="C9" s="308"/>
      <c r="D9" s="306"/>
      <c r="E9" s="306"/>
      <c r="F9" s="308"/>
      <c r="G9" s="308"/>
      <c r="H9" s="337" t="str">
        <f>UPPER(Nama_Sekolah_KOP)</f>
        <v>SD NEGERI 1 GIRIHARJO PUHPELEM</v>
      </c>
      <c r="I9" s="311"/>
      <c r="J9" s="311"/>
      <c r="K9" s="311"/>
      <c r="L9" s="302"/>
      <c r="M9" s="303"/>
      <c r="N9" s="310"/>
      <c r="O9" s="310"/>
      <c r="P9" s="310"/>
      <c r="Q9" s="310"/>
    </row>
    <row r="10" spans="1:17" s="325" customFormat="1" ht="15.75" customHeight="1">
      <c r="A10" s="302"/>
      <c r="B10" s="306"/>
      <c r="C10" s="308"/>
      <c r="D10" s="306"/>
      <c r="E10" s="306"/>
      <c r="F10" s="308"/>
      <c r="G10" s="308"/>
      <c r="H10" s="338" t="str">
        <f>Alamat_Lengkap&amp;", "&amp;Kelurahan&amp;", "&amp;Kecamatan&amp;", "&amp;Kabupaten&amp;" Kode Pos "&amp;kode_pos</f>
        <v>Jalan Giriharjo-Sarangan, Giriharjo, Puhpelem, Wonogiri Kode Pos 57698</v>
      </c>
      <c r="I10" s="339"/>
      <c r="J10" s="339"/>
      <c r="K10" s="311"/>
      <c r="L10" s="302"/>
      <c r="M10" s="303"/>
      <c r="N10" s="310"/>
      <c r="O10" s="310"/>
      <c r="P10" s="310"/>
      <c r="Q10" s="310"/>
    </row>
    <row r="11" spans="1:17" s="325" customFormat="1" ht="16.5" customHeight="1" thickBot="1">
      <c r="A11" s="302"/>
      <c r="B11" s="306"/>
      <c r="C11" s="312"/>
      <c r="D11" s="312"/>
      <c r="E11" s="312"/>
      <c r="F11" s="312"/>
      <c r="G11" s="340"/>
      <c r="H11" s="340" t="str">
        <f>"Telepon No. "&amp;Telepon&amp;", "&amp;"Email: "&amp;Email</f>
        <v>Telepon No. -, Email: sdn1giriharjo@gmail.com</v>
      </c>
      <c r="I11" s="341"/>
      <c r="J11" s="341"/>
      <c r="K11" s="311"/>
      <c r="L11" s="302"/>
      <c r="M11" s="303"/>
      <c r="N11" s="310"/>
      <c r="O11" s="310"/>
      <c r="P11" s="310"/>
      <c r="Q11" s="310"/>
    </row>
    <row r="12" spans="1:17" ht="6.75" customHeight="1" thickTop="1">
      <c r="A12" s="302"/>
      <c r="B12" s="306"/>
      <c r="C12" s="303"/>
      <c r="D12" s="303"/>
      <c r="E12" s="303"/>
      <c r="F12" s="303"/>
      <c r="G12" s="303"/>
      <c r="H12" s="303"/>
      <c r="I12" s="303"/>
      <c r="J12" s="303"/>
      <c r="K12" s="311"/>
      <c r="L12" s="302"/>
      <c r="N12" s="310"/>
      <c r="O12" s="310"/>
      <c r="P12" s="310"/>
      <c r="Q12" s="310"/>
    </row>
    <row r="13" spans="1:17" ht="16.5" customHeight="1">
      <c r="A13" s="302"/>
      <c r="B13" s="306"/>
      <c r="C13" s="494" t="s">
        <v>182</v>
      </c>
      <c r="D13" s="494"/>
      <c r="E13" s="494"/>
      <c r="F13" s="494"/>
      <c r="G13" s="494"/>
      <c r="H13" s="494"/>
      <c r="I13" s="494"/>
      <c r="J13" s="494"/>
      <c r="K13" s="311"/>
      <c r="L13" s="302"/>
      <c r="N13" s="310"/>
    </row>
    <row r="14" spans="1:17" ht="16.5" customHeight="1">
      <c r="A14" s="302"/>
      <c r="B14" s="306"/>
      <c r="C14" s="495" t="str">
        <f>CONCATENATE("TAHUN PELAJARAN ",Tahun_Pelajaran)</f>
        <v>TAHUN PELAJARAN 2021/2022</v>
      </c>
      <c r="D14" s="495"/>
      <c r="E14" s="495"/>
      <c r="F14" s="495"/>
      <c r="G14" s="495"/>
      <c r="H14" s="495"/>
      <c r="I14" s="495"/>
      <c r="J14" s="495"/>
      <c r="K14" s="311"/>
      <c r="L14" s="302"/>
      <c r="N14" s="310"/>
    </row>
    <row r="15" spans="1:17" ht="16.5" customHeight="1">
      <c r="A15" s="302"/>
      <c r="B15" s="303"/>
      <c r="C15" s="495" t="str">
        <f>"Nomor : "&amp;SK_luluss</f>
        <v>Nomor : 423.7/xxxx</v>
      </c>
      <c r="D15" s="495"/>
      <c r="E15" s="495"/>
      <c r="F15" s="495"/>
      <c r="G15" s="495"/>
      <c r="H15" s="495"/>
      <c r="I15" s="495"/>
      <c r="J15" s="495"/>
      <c r="K15" s="313"/>
      <c r="L15" s="302"/>
      <c r="N15" s="310"/>
    </row>
    <row r="16" spans="1:17" ht="8.25" customHeight="1">
      <c r="A16" s="302"/>
      <c r="B16" s="303"/>
      <c r="C16" s="303"/>
      <c r="D16" s="303"/>
      <c r="E16" s="303"/>
      <c r="F16" s="303"/>
      <c r="G16" s="303"/>
      <c r="H16" s="303"/>
      <c r="I16" s="303"/>
      <c r="J16" s="303"/>
      <c r="K16" s="303"/>
      <c r="L16" s="302"/>
      <c r="N16" s="489">
        <v>1</v>
      </c>
    </row>
    <row r="17" spans="1:24" s="78" customFormat="1" ht="39" customHeight="1">
      <c r="A17" s="302"/>
      <c r="C17" s="492" t="str">
        <f>CONCATENATE("Yang bertanda tangan di bawah ini Kepala ",Nama_Sekolah,", ","Kecamatan ",Kecamatan,", ",Kab_Kota," ",Kabupaten," ","menerangkan bahwa:")</f>
        <v>Yang bertanda tangan di bawah ini Kepala Sekolah Dasar Negeri 1 Giriharjo, Kecamatan Puhpelem, Kabupaten Wonogiri menerangkan bahwa:</v>
      </c>
      <c r="D17" s="492"/>
      <c r="E17" s="492"/>
      <c r="F17" s="492"/>
      <c r="G17" s="492"/>
      <c r="H17" s="492"/>
      <c r="I17" s="492"/>
      <c r="J17" s="492"/>
      <c r="K17" s="84"/>
      <c r="L17" s="302"/>
      <c r="M17" s="303"/>
      <c r="N17" s="490"/>
    </row>
    <row r="18" spans="1:24" s="78" customFormat="1" ht="6" customHeight="1">
      <c r="A18" s="302"/>
      <c r="D18" s="84"/>
      <c r="E18" s="84"/>
      <c r="F18" s="84"/>
      <c r="G18" s="84"/>
      <c r="H18" s="84"/>
      <c r="I18" s="84"/>
      <c r="J18" s="84"/>
      <c r="K18" s="84"/>
      <c r="L18" s="302"/>
      <c r="M18" s="303"/>
      <c r="N18" s="490"/>
    </row>
    <row r="19" spans="1:24" s="78" customFormat="1" ht="15.5">
      <c r="A19" s="314"/>
      <c r="C19" s="78" t="s">
        <v>87</v>
      </c>
      <c r="E19" s="151"/>
      <c r="F19" s="315" t="s">
        <v>67</v>
      </c>
      <c r="G19" s="78" t="str">
        <f>UPPER(VLOOKUP($N$16,Data_siswa,5))</f>
        <v/>
      </c>
      <c r="H19" s="315"/>
      <c r="I19" s="315"/>
      <c r="J19" s="315"/>
      <c r="K19" s="315"/>
      <c r="L19" s="302"/>
      <c r="M19" s="303"/>
      <c r="N19" s="491"/>
    </row>
    <row r="20" spans="1:24" s="78" customFormat="1" ht="15.5">
      <c r="A20" s="314"/>
      <c r="C20" s="78" t="s">
        <v>88</v>
      </c>
      <c r="F20" s="315" t="s">
        <v>67</v>
      </c>
      <c r="G20" s="316" t="str">
        <f>CONCATENATE(VLOOKUP($N$16,Data_siswa,8),", ",TEXT(VLOOKUP($N$16,Data_siswa,9),"D MMMM yyyy"))</f>
        <v>Wonogiri, 0 Januari 1900</v>
      </c>
      <c r="H20" s="317"/>
      <c r="I20" s="317"/>
      <c r="J20" s="317"/>
      <c r="K20" s="317"/>
      <c r="L20" s="302"/>
      <c r="M20" s="303"/>
    </row>
    <row r="21" spans="1:24" s="78" customFormat="1" ht="15.5">
      <c r="A21" s="314"/>
      <c r="C21" s="78" t="s">
        <v>183</v>
      </c>
      <c r="F21" s="315" t="s">
        <v>67</v>
      </c>
      <c r="G21" s="316">
        <f>VLOOKUP($N$16,Data_siswa,10)</f>
        <v>0</v>
      </c>
      <c r="H21" s="317"/>
      <c r="I21" s="317"/>
      <c r="J21" s="317"/>
      <c r="K21" s="317"/>
      <c r="L21" s="302"/>
      <c r="M21" s="303"/>
    </row>
    <row r="22" spans="1:24" s="78" customFormat="1" ht="15.5">
      <c r="A22" s="314"/>
      <c r="C22" s="78" t="s">
        <v>89</v>
      </c>
      <c r="F22" s="315" t="s">
        <v>67</v>
      </c>
      <c r="G22" s="316">
        <f>VLOOKUP($N$16,Data_siswa,2)</f>
        <v>2887</v>
      </c>
      <c r="H22" s="317"/>
      <c r="I22" s="317"/>
      <c r="J22" s="317"/>
      <c r="K22" s="317"/>
      <c r="L22" s="302"/>
      <c r="M22" s="303"/>
    </row>
    <row r="23" spans="1:24" s="78" customFormat="1" ht="15.5">
      <c r="A23" s="314"/>
      <c r="C23" s="78" t="s">
        <v>40</v>
      </c>
      <c r="F23" s="315" t="s">
        <v>67</v>
      </c>
      <c r="G23" s="101">
        <f>VLOOKUP($N$16,Data_siswa,3)</f>
        <v>0</v>
      </c>
      <c r="H23" s="315"/>
      <c r="I23" s="315"/>
      <c r="J23" s="315"/>
      <c r="K23" s="315"/>
      <c r="L23" s="302"/>
      <c r="M23" s="303"/>
    </row>
    <row r="24" spans="1:24" s="78" customFormat="1" ht="15.5">
      <c r="A24" s="314"/>
      <c r="C24" s="78" t="s">
        <v>30</v>
      </c>
      <c r="F24" s="315" t="s">
        <v>67</v>
      </c>
      <c r="G24" s="101" t="str">
        <f>SD_MI&amp;" "&amp;Nama_sekolah1</f>
        <v>Sekolah Dasar Negeri 1 Giriharjo</v>
      </c>
      <c r="H24" s="318"/>
      <c r="I24" s="318"/>
      <c r="J24" s="318"/>
      <c r="K24" s="318"/>
      <c r="L24" s="302"/>
      <c r="M24" s="303"/>
    </row>
    <row r="25" spans="1:24" ht="15.5">
      <c r="A25" s="302"/>
      <c r="B25" s="303"/>
      <c r="C25" s="308"/>
      <c r="D25" s="308"/>
      <c r="E25" s="308"/>
      <c r="F25" s="308"/>
      <c r="G25" s="308"/>
      <c r="H25" s="308"/>
      <c r="I25" s="308"/>
      <c r="J25" s="308"/>
      <c r="K25" s="308"/>
      <c r="L25" s="302"/>
    </row>
    <row r="26" spans="1:24" ht="18" customHeight="1">
      <c r="A26" s="302"/>
      <c r="B26" s="303"/>
      <c r="C26" s="556" t="str">
        <f>IFERROR(VLOOKUP($N$16,US_GABUNGAN,Q47),"")</f>
        <v/>
      </c>
      <c r="D26" s="556"/>
      <c r="E26" s="556"/>
      <c r="F26" s="556"/>
      <c r="G26" s="556"/>
      <c r="H26" s="556"/>
      <c r="I26" s="556"/>
      <c r="J26" s="556"/>
      <c r="K26" s="308"/>
      <c r="L26" s="302"/>
    </row>
    <row r="27" spans="1:24" ht="6" customHeight="1">
      <c r="A27" s="302"/>
      <c r="B27" s="303"/>
      <c r="C27" s="308"/>
      <c r="D27" s="308"/>
      <c r="E27" s="308"/>
      <c r="F27" s="308"/>
      <c r="G27" s="308"/>
      <c r="H27" s="308"/>
      <c r="I27" s="308"/>
      <c r="J27" s="308"/>
      <c r="K27" s="308"/>
      <c r="L27" s="302"/>
    </row>
    <row r="28" spans="1:24" s="78" customFormat="1" ht="30.75" customHeight="1">
      <c r="A28" s="314"/>
      <c r="C28" s="553" t="s">
        <v>189</v>
      </c>
      <c r="D28" s="553"/>
      <c r="E28" s="553"/>
      <c r="F28" s="553"/>
      <c r="G28" s="553"/>
      <c r="H28" s="553"/>
      <c r="I28" s="553"/>
      <c r="J28" s="553"/>
      <c r="K28" s="342"/>
      <c r="L28" s="314"/>
      <c r="M28" s="308"/>
    </row>
    <row r="29" spans="1:24" s="78" customFormat="1" ht="4.5" customHeight="1">
      <c r="A29" s="314"/>
      <c r="C29" s="343"/>
      <c r="D29" s="343"/>
      <c r="E29" s="343"/>
      <c r="F29" s="343"/>
      <c r="G29" s="343"/>
      <c r="H29" s="343"/>
      <c r="I29" s="343"/>
      <c r="J29" s="343"/>
      <c r="K29" s="342"/>
      <c r="L29" s="314"/>
      <c r="M29" s="308"/>
    </row>
    <row r="30" spans="1:24" s="78" customFormat="1" ht="15.5">
      <c r="A30" s="314"/>
      <c r="C30" s="554" t="s">
        <v>91</v>
      </c>
      <c r="D30" s="524" t="s">
        <v>92</v>
      </c>
      <c r="E30" s="525"/>
      <c r="F30" s="525"/>
      <c r="G30" s="525"/>
      <c r="H30" s="526"/>
      <c r="I30" s="524" t="s">
        <v>184</v>
      </c>
      <c r="J30" s="526"/>
      <c r="L30" s="314"/>
      <c r="M30" s="308"/>
      <c r="O30" s="151"/>
      <c r="P30" s="151"/>
    </row>
    <row r="31" spans="1:24" s="78" customFormat="1" ht="15.5">
      <c r="A31" s="314"/>
      <c r="C31" s="555"/>
      <c r="D31" s="521" t="s">
        <v>190</v>
      </c>
      <c r="E31" s="522"/>
      <c r="F31" s="522"/>
      <c r="G31" s="522"/>
      <c r="H31" s="523"/>
      <c r="I31" s="527"/>
      <c r="J31" s="529"/>
      <c r="L31" s="314"/>
      <c r="M31" s="308"/>
      <c r="O31" s="151"/>
      <c r="P31" s="151"/>
    </row>
    <row r="32" spans="1:24" s="78" customFormat="1" ht="15.5">
      <c r="A32" s="314"/>
      <c r="C32" s="515" t="s">
        <v>131</v>
      </c>
      <c r="D32" s="516"/>
      <c r="E32" s="516"/>
      <c r="F32" s="516"/>
      <c r="G32" s="516"/>
      <c r="H32" s="517"/>
      <c r="I32" s="344"/>
      <c r="J32" s="345"/>
      <c r="L32" s="314"/>
      <c r="M32" s="308"/>
      <c r="O32" s="151"/>
      <c r="P32" s="151"/>
      <c r="X32" s="78" t="s">
        <v>281</v>
      </c>
    </row>
    <row r="33" spans="1:24" s="78" customFormat="1" ht="15" customHeight="1">
      <c r="A33" s="314"/>
      <c r="C33" s="322" t="s">
        <v>94</v>
      </c>
      <c r="D33" s="552" t="s">
        <v>130</v>
      </c>
      <c r="E33" s="552"/>
      <c r="F33" s="552"/>
      <c r="G33" s="552"/>
      <c r="H33" s="552"/>
      <c r="I33" s="548" t="str">
        <f>IFERROR(IF($N$37="Fixed",U33,V33),"")</f>
        <v>91,20</v>
      </c>
      <c r="J33" s="549"/>
      <c r="L33" s="314"/>
      <c r="M33" s="308"/>
      <c r="O33" s="151"/>
      <c r="P33" s="151"/>
      <c r="Q33" s="87">
        <v>5</v>
      </c>
      <c r="U33" s="424" t="str">
        <f t="shared" ref="U33:U43" si="0">IFERROR(FIXED(VLOOKUP($N$16,US_GABUNGAN,Q33)),"")</f>
        <v>91,20</v>
      </c>
      <c r="V33" s="424">
        <f t="shared" ref="V33:V45" si="1">IFERROR(VLOOKUP($N$16,US_GABUNGAN,Q33),"")</f>
        <v>91.2</v>
      </c>
      <c r="X33" s="78" t="s">
        <v>282</v>
      </c>
    </row>
    <row r="34" spans="1:24" s="78" customFormat="1" ht="15" customHeight="1">
      <c r="A34" s="314"/>
      <c r="C34" s="322" t="s">
        <v>95</v>
      </c>
      <c r="D34" s="552" t="s">
        <v>102</v>
      </c>
      <c r="E34" s="552"/>
      <c r="F34" s="552"/>
      <c r="G34" s="552"/>
      <c r="H34" s="552"/>
      <c r="I34" s="548" t="str">
        <f t="shared" ref="I34:I43" si="2">IFERROR(IF($N$37="Fixed",U34,V34),"")</f>
        <v>89,80</v>
      </c>
      <c r="J34" s="549"/>
      <c r="L34" s="314"/>
      <c r="M34" s="308"/>
      <c r="O34" s="151"/>
      <c r="P34" s="151"/>
      <c r="Q34" s="87">
        <v>6</v>
      </c>
      <c r="U34" s="424" t="str">
        <f t="shared" si="0"/>
        <v>89,80</v>
      </c>
      <c r="V34" s="424">
        <f t="shared" si="1"/>
        <v>89.8</v>
      </c>
    </row>
    <row r="35" spans="1:24" s="78" customFormat="1" ht="15" customHeight="1">
      <c r="A35" s="314"/>
      <c r="C35" s="322" t="s">
        <v>96</v>
      </c>
      <c r="D35" s="552" t="s">
        <v>60</v>
      </c>
      <c r="E35" s="552"/>
      <c r="F35" s="552"/>
      <c r="G35" s="552"/>
      <c r="H35" s="552"/>
      <c r="I35" s="548" t="str">
        <f t="shared" si="2"/>
        <v>88,55</v>
      </c>
      <c r="J35" s="549"/>
      <c r="L35" s="314"/>
      <c r="M35" s="308"/>
      <c r="O35" s="151"/>
      <c r="P35" s="151"/>
      <c r="Q35" s="87">
        <v>7</v>
      </c>
      <c r="U35" s="424" t="str">
        <f t="shared" si="0"/>
        <v>88,55</v>
      </c>
      <c r="V35" s="424">
        <f t="shared" si="1"/>
        <v>88.55</v>
      </c>
    </row>
    <row r="36" spans="1:24" s="325" customFormat="1" ht="15" customHeight="1">
      <c r="A36" s="314"/>
      <c r="B36" s="308"/>
      <c r="C36" s="322" t="s">
        <v>97</v>
      </c>
      <c r="D36" s="552" t="s">
        <v>103</v>
      </c>
      <c r="E36" s="552"/>
      <c r="F36" s="552"/>
      <c r="G36" s="552"/>
      <c r="H36" s="552"/>
      <c r="I36" s="548" t="str">
        <f t="shared" si="2"/>
        <v>89,25</v>
      </c>
      <c r="J36" s="549"/>
      <c r="K36" s="308"/>
      <c r="L36" s="314"/>
      <c r="M36" s="308"/>
      <c r="Q36" s="325">
        <v>8</v>
      </c>
      <c r="U36" s="424" t="str">
        <f t="shared" si="0"/>
        <v>89,25</v>
      </c>
      <c r="V36" s="424">
        <f t="shared" si="1"/>
        <v>89.25</v>
      </c>
    </row>
    <row r="37" spans="1:24" s="325" customFormat="1" ht="15" customHeight="1">
      <c r="A37" s="314"/>
      <c r="B37" s="308"/>
      <c r="C37" s="322" t="s">
        <v>98</v>
      </c>
      <c r="D37" s="552" t="s">
        <v>104</v>
      </c>
      <c r="E37" s="552"/>
      <c r="F37" s="552"/>
      <c r="G37" s="552"/>
      <c r="H37" s="552"/>
      <c r="I37" s="548" t="str">
        <f t="shared" si="2"/>
        <v>89,95</v>
      </c>
      <c r="J37" s="549"/>
      <c r="K37" s="308"/>
      <c r="L37" s="314"/>
      <c r="M37" s="308"/>
      <c r="N37" s="425" t="s">
        <v>282</v>
      </c>
      <c r="Q37" s="325">
        <v>9</v>
      </c>
      <c r="U37" s="424" t="str">
        <f t="shared" si="0"/>
        <v>89,95</v>
      </c>
      <c r="V37" s="424">
        <f t="shared" si="1"/>
        <v>89.95</v>
      </c>
    </row>
    <row r="38" spans="1:24" s="325" customFormat="1" ht="15" customHeight="1">
      <c r="A38" s="314"/>
      <c r="B38" s="308"/>
      <c r="C38" s="322" t="s">
        <v>99</v>
      </c>
      <c r="D38" s="552" t="s">
        <v>105</v>
      </c>
      <c r="E38" s="552"/>
      <c r="F38" s="552"/>
      <c r="G38" s="552"/>
      <c r="H38" s="552"/>
      <c r="I38" s="548" t="str">
        <f t="shared" si="2"/>
        <v>88,80</v>
      </c>
      <c r="J38" s="549"/>
      <c r="K38" s="308"/>
      <c r="L38" s="314"/>
      <c r="M38" s="308"/>
      <c r="Q38" s="325">
        <v>10</v>
      </c>
      <c r="U38" s="424" t="str">
        <f t="shared" si="0"/>
        <v>88,80</v>
      </c>
      <c r="V38" s="424">
        <f t="shared" si="1"/>
        <v>88.8</v>
      </c>
    </row>
    <row r="39" spans="1:24" s="325" customFormat="1" ht="15" customHeight="1">
      <c r="A39" s="314"/>
      <c r="B39" s="308"/>
      <c r="C39" s="518" t="s">
        <v>132</v>
      </c>
      <c r="D39" s="519"/>
      <c r="E39" s="519"/>
      <c r="F39" s="519"/>
      <c r="G39" s="519"/>
      <c r="H39" s="520"/>
      <c r="I39" s="548" t="str">
        <f t="shared" si="2"/>
        <v/>
      </c>
      <c r="J39" s="549"/>
      <c r="K39" s="308"/>
      <c r="L39" s="314"/>
      <c r="M39" s="308"/>
      <c r="U39" s="424" t="str">
        <f t="shared" si="0"/>
        <v/>
      </c>
      <c r="V39" s="424" t="str">
        <f t="shared" si="1"/>
        <v/>
      </c>
    </row>
    <row r="40" spans="1:24" s="325" customFormat="1" ht="15" customHeight="1">
      <c r="A40" s="314"/>
      <c r="B40" s="308"/>
      <c r="C40" s="322" t="s">
        <v>94</v>
      </c>
      <c r="D40" s="552" t="s">
        <v>133</v>
      </c>
      <c r="E40" s="552"/>
      <c r="F40" s="552"/>
      <c r="G40" s="552"/>
      <c r="H40" s="552"/>
      <c r="I40" s="548" t="str">
        <f t="shared" si="2"/>
        <v>85,20</v>
      </c>
      <c r="J40" s="549"/>
      <c r="K40" s="308"/>
      <c r="L40" s="314"/>
      <c r="M40" s="308"/>
      <c r="Q40" s="325">
        <v>11</v>
      </c>
      <c r="U40" s="424" t="str">
        <f t="shared" si="0"/>
        <v>85,20</v>
      </c>
      <c r="V40" s="424">
        <f t="shared" si="1"/>
        <v>85.2</v>
      </c>
    </row>
    <row r="41" spans="1:24" s="325" customFormat="1" ht="15" customHeight="1">
      <c r="A41" s="314"/>
      <c r="B41" s="308"/>
      <c r="C41" s="322" t="s">
        <v>95</v>
      </c>
      <c r="D41" s="552" t="s">
        <v>217</v>
      </c>
      <c r="E41" s="552"/>
      <c r="F41" s="552"/>
      <c r="G41" s="552"/>
      <c r="H41" s="552"/>
      <c r="I41" s="548" t="str">
        <f t="shared" si="2"/>
        <v>87,20</v>
      </c>
      <c r="J41" s="549"/>
      <c r="K41" s="308"/>
      <c r="L41" s="314"/>
      <c r="M41" s="308"/>
      <c r="Q41" s="325">
        <v>12</v>
      </c>
      <c r="U41" s="424" t="str">
        <f t="shared" si="0"/>
        <v>87,20</v>
      </c>
      <c r="V41" s="424">
        <f t="shared" si="1"/>
        <v>87.2</v>
      </c>
    </row>
    <row r="42" spans="1:24" s="325" customFormat="1" ht="15" customHeight="1">
      <c r="A42" s="314"/>
      <c r="B42" s="308"/>
      <c r="C42" s="322" t="s">
        <v>96</v>
      </c>
      <c r="D42" s="552" t="s">
        <v>100</v>
      </c>
      <c r="E42" s="552"/>
      <c r="F42" s="552"/>
      <c r="G42" s="552"/>
      <c r="H42" s="552"/>
      <c r="I42" s="548" t="str">
        <f t="shared" si="2"/>
        <v/>
      </c>
      <c r="J42" s="549"/>
      <c r="K42" s="308"/>
      <c r="L42" s="314"/>
      <c r="M42" s="308"/>
      <c r="U42" s="424" t="str">
        <f t="shared" si="0"/>
        <v/>
      </c>
      <c r="V42" s="424" t="str">
        <f t="shared" si="1"/>
        <v/>
      </c>
    </row>
    <row r="43" spans="1:24" s="325" customFormat="1" ht="15" customHeight="1">
      <c r="A43" s="314"/>
      <c r="B43" s="308"/>
      <c r="C43" s="346"/>
      <c r="D43" s="552" t="str">
        <f>"a. "&amp;PENGATURAN!F16</f>
        <v>a. Bahasa Jawa</v>
      </c>
      <c r="E43" s="552"/>
      <c r="F43" s="552"/>
      <c r="G43" s="552"/>
      <c r="H43" s="552"/>
      <c r="I43" s="548" t="str">
        <f t="shared" si="2"/>
        <v>84,70</v>
      </c>
      <c r="J43" s="549"/>
      <c r="K43" s="308"/>
      <c r="L43" s="314"/>
      <c r="M43" s="308"/>
      <c r="Q43" s="325">
        <v>13</v>
      </c>
      <c r="U43" s="424" t="str">
        <f t="shared" si="0"/>
        <v>84,70</v>
      </c>
      <c r="V43" s="424">
        <f t="shared" si="1"/>
        <v>84.7</v>
      </c>
    </row>
    <row r="44" spans="1:24" s="325" customFormat="1" ht="15" hidden="1" customHeight="1">
      <c r="A44" s="314"/>
      <c r="B44" s="308"/>
      <c r="C44" s="346"/>
      <c r="D44" s="552"/>
      <c r="E44" s="552"/>
      <c r="F44" s="552"/>
      <c r="G44" s="552"/>
      <c r="H44" s="552"/>
      <c r="I44" s="548" t="str">
        <f t="shared" ref="I44:I45" si="3">IFERROR(IF(N48="Fixed",U44,V44),"")</f>
        <v/>
      </c>
      <c r="J44" s="549"/>
      <c r="K44" s="308"/>
      <c r="L44" s="314"/>
      <c r="M44" s="308"/>
      <c r="Q44" s="325">
        <v>14</v>
      </c>
      <c r="U44" s="78" t="str">
        <f>IFERROR(VLOOKUP($N$16,US_GABUNGAN,Q44),"")</f>
        <v/>
      </c>
      <c r="V44" s="78" t="str">
        <f t="shared" si="1"/>
        <v/>
      </c>
    </row>
    <row r="45" spans="1:24" s="325" customFormat="1" ht="15" hidden="1" customHeight="1">
      <c r="A45" s="314"/>
      <c r="B45" s="308"/>
      <c r="C45" s="346"/>
      <c r="D45" s="552"/>
      <c r="E45" s="552"/>
      <c r="F45" s="552"/>
      <c r="G45" s="552"/>
      <c r="H45" s="552"/>
      <c r="I45" s="548" t="str">
        <f t="shared" si="3"/>
        <v/>
      </c>
      <c r="J45" s="549"/>
      <c r="K45" s="308"/>
      <c r="L45" s="314"/>
      <c r="M45" s="308"/>
      <c r="Q45" s="325">
        <v>15</v>
      </c>
      <c r="U45" s="78" t="str">
        <f>IFERROR(VLOOKUP($N$16,US_GABUNGAN,Q45),"")</f>
        <v/>
      </c>
      <c r="V45" s="78" t="str">
        <f t="shared" si="1"/>
        <v/>
      </c>
    </row>
    <row r="46" spans="1:24" s="325" customFormat="1" ht="15" customHeight="1">
      <c r="A46" s="314"/>
      <c r="B46" s="308"/>
      <c r="C46" s="506" t="s">
        <v>101</v>
      </c>
      <c r="D46" s="507"/>
      <c r="E46" s="507"/>
      <c r="F46" s="507"/>
      <c r="G46" s="507"/>
      <c r="H46" s="508"/>
      <c r="I46" s="550">
        <f>ROUND(V46,Digit_rata_rapor)</f>
        <v>88.29</v>
      </c>
      <c r="J46" s="551"/>
      <c r="K46" s="308"/>
      <c r="L46" s="314"/>
      <c r="M46" s="308"/>
      <c r="Q46" s="325">
        <v>16</v>
      </c>
      <c r="U46" s="78"/>
      <c r="V46" s="325">
        <f>IFERROR(AVERAGE(V33:V45),"")</f>
        <v>88.294444444444451</v>
      </c>
    </row>
    <row r="47" spans="1:24" s="325" customFormat="1" ht="9" customHeight="1">
      <c r="A47" s="314"/>
      <c r="B47" s="308"/>
      <c r="C47" s="327"/>
      <c r="D47" s="327"/>
      <c r="E47" s="327"/>
      <c r="F47" s="327"/>
      <c r="G47" s="327"/>
      <c r="H47" s="327"/>
      <c r="I47" s="329"/>
      <c r="J47" s="329"/>
      <c r="K47" s="308"/>
      <c r="L47" s="314"/>
      <c r="M47" s="308"/>
      <c r="Q47" s="325">
        <v>19</v>
      </c>
      <c r="U47" s="78"/>
    </row>
    <row r="48" spans="1:24" s="325" customFormat="1" ht="36" customHeight="1">
      <c r="A48" s="314"/>
      <c r="B48" s="308"/>
      <c r="C48" s="496" t="str">
        <f>"Demikian Surat Keterangan ini untuk dipergunakan sebagaimana mestinya, dan hanya berlaku sampai diterbitkannya Ijazah Tahun Pelajaran "&amp;Tahun_Pelajaran&amp;"."</f>
        <v>Demikian Surat Keterangan ini untuk dipergunakan sebagaimana mestinya, dan hanya berlaku sampai diterbitkannya Ijazah Tahun Pelajaran 2021/2022.</v>
      </c>
      <c r="D48" s="496"/>
      <c r="E48" s="496"/>
      <c r="F48" s="496"/>
      <c r="G48" s="496"/>
      <c r="H48" s="496"/>
      <c r="I48" s="496"/>
      <c r="J48" s="496"/>
      <c r="K48" s="95"/>
      <c r="L48" s="314"/>
      <c r="M48" s="308"/>
    </row>
    <row r="49" spans="1:14" s="325" customFormat="1" ht="8.25" customHeight="1">
      <c r="A49" s="314"/>
      <c r="B49" s="308"/>
      <c r="C49" s="308"/>
      <c r="D49" s="308"/>
      <c r="E49" s="308"/>
      <c r="F49" s="308"/>
      <c r="G49" s="308"/>
      <c r="H49" s="308"/>
      <c r="I49" s="308"/>
      <c r="J49" s="308"/>
      <c r="K49" s="308"/>
      <c r="L49" s="314"/>
      <c r="M49" s="308"/>
    </row>
    <row r="50" spans="1:14" s="325" customFormat="1" ht="30" customHeight="1">
      <c r="A50" s="314"/>
      <c r="B50" s="308"/>
      <c r="C50" s="308"/>
      <c r="D50" s="308"/>
      <c r="E50" s="308"/>
      <c r="F50" s="308"/>
      <c r="G50" s="308"/>
      <c r="H50" s="308"/>
      <c r="J50" s="308"/>
      <c r="K50" s="308"/>
      <c r="L50" s="314"/>
      <c r="M50" s="308"/>
    </row>
    <row r="51" spans="1:14" s="325" customFormat="1" ht="15.5">
      <c r="A51" s="314"/>
      <c r="B51" s="308"/>
      <c r="C51" s="308"/>
      <c r="D51" s="308"/>
      <c r="E51" s="308"/>
      <c r="F51" s="308"/>
      <c r="G51" s="308"/>
      <c r="H51" s="308"/>
      <c r="I51" s="387" t="str">
        <f>Kabupaten&amp;", "&amp;TEXT(Tgl_Lulus,"DD MMMM YYYY")</f>
        <v>Wonogiri, 16 Juni 2022</v>
      </c>
      <c r="J51" s="308"/>
      <c r="K51" s="308"/>
      <c r="L51" s="314"/>
      <c r="M51" s="308"/>
    </row>
    <row r="52" spans="1:14" s="325" customFormat="1" ht="15.5">
      <c r="A52" s="314"/>
      <c r="B52" s="308"/>
      <c r="C52" s="308"/>
      <c r="D52" s="308"/>
      <c r="E52" s="308"/>
      <c r="F52" s="308"/>
      <c r="G52" s="308"/>
      <c r="H52" s="386"/>
      <c r="I52" s="388" t="s">
        <v>261</v>
      </c>
      <c r="J52" s="308"/>
      <c r="K52" s="308"/>
      <c r="L52" s="314"/>
      <c r="M52" s="308"/>
    </row>
    <row r="53" spans="1:14" s="325" customFormat="1" ht="15.5">
      <c r="A53" s="314"/>
      <c r="B53" s="308"/>
      <c r="C53" s="308"/>
      <c r="D53" s="308"/>
      <c r="E53" s="308"/>
      <c r="F53" s="308"/>
      <c r="G53" s="308"/>
      <c r="H53" s="308"/>
      <c r="J53" s="308"/>
      <c r="K53" s="308"/>
      <c r="L53" s="314"/>
      <c r="M53" s="308"/>
    </row>
    <row r="54" spans="1:14" s="325" customFormat="1" ht="42" customHeight="1">
      <c r="A54" s="314"/>
      <c r="B54" s="308"/>
      <c r="C54" s="308"/>
      <c r="D54" s="308"/>
      <c r="E54" s="308"/>
      <c r="F54" s="308"/>
      <c r="G54" s="308"/>
      <c r="H54" s="308"/>
      <c r="I54" s="330"/>
      <c r="J54" s="308"/>
      <c r="K54" s="308"/>
      <c r="L54" s="314"/>
      <c r="M54" s="308"/>
    </row>
    <row r="55" spans="1:14" s="325" customFormat="1" ht="21" customHeight="1">
      <c r="A55" s="314"/>
      <c r="B55" s="308"/>
      <c r="C55" s="308"/>
      <c r="D55" s="308"/>
      <c r="E55" s="308"/>
      <c r="F55" s="308"/>
      <c r="G55" s="308"/>
      <c r="H55" s="308"/>
      <c r="I55" s="389">
        <f>Kepsek</f>
        <v>0</v>
      </c>
      <c r="J55" s="308"/>
      <c r="K55" s="308"/>
      <c r="L55" s="314"/>
      <c r="M55" s="308"/>
      <c r="N55" s="325" t="s">
        <v>263</v>
      </c>
    </row>
    <row r="56" spans="1:14" s="325" customFormat="1" ht="15.5">
      <c r="A56" s="314"/>
      <c r="B56" s="308"/>
      <c r="C56" s="308"/>
      <c r="D56" s="308"/>
      <c r="E56" s="308"/>
      <c r="F56" s="308"/>
      <c r="G56" s="308"/>
      <c r="H56" s="308"/>
      <c r="I56" s="390" t="str">
        <f>IF(NIP_Kepsek="","",NIP_Kepsek)</f>
        <v/>
      </c>
      <c r="J56" s="308"/>
      <c r="K56" s="308"/>
      <c r="L56" s="314"/>
      <c r="M56" s="308"/>
    </row>
    <row r="57" spans="1:14" ht="14">
      <c r="A57" s="302"/>
      <c r="B57" s="303"/>
      <c r="C57" s="303"/>
      <c r="D57" s="303"/>
      <c r="E57" s="303"/>
      <c r="F57" s="303"/>
      <c r="G57" s="303"/>
      <c r="H57" s="303"/>
      <c r="J57" s="303"/>
      <c r="K57" s="303"/>
      <c r="L57" s="302"/>
    </row>
    <row r="58" spans="1:14" ht="14">
      <c r="A58" s="302"/>
      <c r="B58" s="303"/>
      <c r="C58" s="303"/>
      <c r="D58" s="303"/>
      <c r="E58" s="303"/>
      <c r="F58" s="303"/>
      <c r="G58" s="303"/>
      <c r="H58" s="303"/>
      <c r="I58" s="303"/>
      <c r="J58" s="303"/>
      <c r="K58" s="303"/>
      <c r="L58" s="302"/>
    </row>
    <row r="59" spans="1:14" ht="58.5" customHeight="1">
      <c r="A59" s="302"/>
      <c r="B59" s="303"/>
      <c r="C59" s="303"/>
      <c r="D59" s="303"/>
      <c r="E59" s="303"/>
      <c r="F59" s="303"/>
      <c r="G59" s="303"/>
      <c r="H59" s="303"/>
      <c r="I59" s="303"/>
      <c r="J59" s="303"/>
      <c r="K59" s="303"/>
      <c r="L59" s="302"/>
    </row>
    <row r="60" spans="1:14" ht="20.25" customHeight="1">
      <c r="A60" s="302"/>
      <c r="B60" s="302"/>
      <c r="C60" s="302"/>
      <c r="D60" s="302"/>
      <c r="E60" s="302"/>
      <c r="F60" s="302"/>
      <c r="G60" s="302"/>
      <c r="H60" s="302"/>
      <c r="I60" s="302"/>
      <c r="J60" s="302"/>
      <c r="K60" s="302"/>
      <c r="L60" s="302"/>
    </row>
    <row r="61" spans="1:14" ht="14.5">
      <c r="B61" s="333" t="s">
        <v>134</v>
      </c>
      <c r="C61" s="333"/>
      <c r="D61" s="333"/>
    </row>
    <row r="62" spans="1:14" ht="14"/>
    <row r="63" spans="1:14" ht="14"/>
    <row r="64" spans="1:14" ht="14"/>
    <row r="65" ht="14"/>
    <row r="66" ht="14"/>
    <row r="67" ht="14"/>
    <row r="68" ht="14"/>
    <row r="69" ht="14"/>
    <row r="70" ht="14"/>
    <row r="71" ht="14"/>
    <row r="72" ht="14"/>
    <row r="73" ht="14"/>
    <row r="74" ht="14"/>
    <row r="75" ht="14"/>
    <row r="76" ht="14"/>
    <row r="77" ht="14"/>
    <row r="78" ht="14"/>
    <row r="79" ht="14"/>
  </sheetData>
  <sheetProtection password="CC5B" sheet="1" objects="1" scenarios="1" formatCells="0" formatColumns="0" formatRows="0"/>
  <mergeCells count="41">
    <mergeCell ref="C26:J26"/>
    <mergeCell ref="C13:J13"/>
    <mergeCell ref="C14:J14"/>
    <mergeCell ref="C15:J15"/>
    <mergeCell ref="N16:N19"/>
    <mergeCell ref="C17:J17"/>
    <mergeCell ref="I36:J36"/>
    <mergeCell ref="C28:J28"/>
    <mergeCell ref="C30:C31"/>
    <mergeCell ref="D30:H30"/>
    <mergeCell ref="I30:J31"/>
    <mergeCell ref="D31:H31"/>
    <mergeCell ref="D33:H33"/>
    <mergeCell ref="I33:J33"/>
    <mergeCell ref="C32:H32"/>
    <mergeCell ref="D34:H34"/>
    <mergeCell ref="I34:J34"/>
    <mergeCell ref="D35:H35"/>
    <mergeCell ref="I35:J35"/>
    <mergeCell ref="D36:H36"/>
    <mergeCell ref="D37:H37"/>
    <mergeCell ref="I37:J37"/>
    <mergeCell ref="D38:H38"/>
    <mergeCell ref="I38:J38"/>
    <mergeCell ref="D40:H40"/>
    <mergeCell ref="I40:J40"/>
    <mergeCell ref="I39:J39"/>
    <mergeCell ref="I45:J45"/>
    <mergeCell ref="C46:H46"/>
    <mergeCell ref="I46:J46"/>
    <mergeCell ref="C48:J48"/>
    <mergeCell ref="C39:H39"/>
    <mergeCell ref="D43:H43"/>
    <mergeCell ref="I43:J43"/>
    <mergeCell ref="D44:H44"/>
    <mergeCell ref="I44:J44"/>
    <mergeCell ref="D45:H45"/>
    <mergeCell ref="D41:H41"/>
    <mergeCell ref="I41:J41"/>
    <mergeCell ref="D42:H42"/>
    <mergeCell ref="I42:J42"/>
  </mergeCells>
  <dataValidations count="2">
    <dataValidation type="decimal" allowBlank="1" showInputMessage="1" showErrorMessage="1" error="Print saja !" promptTitle="Peringatan" sqref="N16 C6:J6 N22:N24 C40:C42">
      <formula1>-1</formula1>
      <formula2>-1</formula2>
    </dataValidation>
    <dataValidation type="list" allowBlank="1" showInputMessage="1" showErrorMessage="1" sqref="N37">
      <formula1>$X$32:$X$33</formula1>
    </dataValidation>
  </dataValidations>
  <pageMargins left="0.39370078740157483" right="0" top="0.39370078740157483" bottom="0" header="0" footer="0"/>
  <pageSetup paperSize="9" scale="83" orientation="portrait" horizontalDpi="360" verticalDpi="360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Y1298"/>
  <sheetViews>
    <sheetView showGridLines="0" topLeftCell="A13" workbookViewId="0">
      <selection activeCell="M21" sqref="M21"/>
    </sheetView>
  </sheetViews>
  <sheetFormatPr defaultColWidth="0" defaultRowHeight="0" customHeight="1" zeroHeight="1"/>
  <cols>
    <col min="1" max="1" width="3.54296875" style="107" customWidth="1"/>
    <col min="2" max="2" width="1.7265625" style="78" customWidth="1"/>
    <col min="3" max="3" width="4.7265625" style="87" customWidth="1"/>
    <col min="4" max="4" width="4.453125" style="87" customWidth="1"/>
    <col min="5" max="5" width="28.81640625" style="87" customWidth="1"/>
    <col min="6" max="6" width="1.54296875" style="87" customWidth="1"/>
    <col min="7" max="7" width="18.26953125" style="87" customWidth="1"/>
    <col min="8" max="8" width="17.7265625" style="118" customWidth="1"/>
    <col min="9" max="9" width="19.81640625" style="118" customWidth="1"/>
    <col min="10" max="10" width="2.1796875" style="87" customWidth="1"/>
    <col min="11" max="11" width="1.26953125" style="107" customWidth="1"/>
    <col min="12" max="12" width="1" style="87" customWidth="1"/>
    <col min="13" max="13" width="12.1796875" style="87" customWidth="1"/>
    <col min="14" max="14" width="1.1796875" style="87" customWidth="1"/>
    <col min="15" max="15" width="1.26953125" style="107" customWidth="1"/>
    <col min="16" max="21" width="9.1796875" style="87" hidden="1" customWidth="1"/>
    <col min="22" max="16384" width="9.1796875" style="78" hidden="1"/>
  </cols>
  <sheetData>
    <row r="1" spans="2:22" ht="15.5">
      <c r="B1" s="107"/>
      <c r="C1" s="107"/>
      <c r="D1" s="107"/>
      <c r="E1" s="107"/>
      <c r="F1" s="107"/>
      <c r="G1" s="107"/>
      <c r="H1" s="108"/>
      <c r="I1" s="108"/>
      <c r="J1" s="107"/>
      <c r="L1" s="107"/>
      <c r="M1" s="107"/>
      <c r="N1" s="107"/>
    </row>
    <row r="2" spans="2:22" ht="7.5" customHeight="1">
      <c r="B2" s="130"/>
      <c r="C2" s="131"/>
      <c r="D2" s="131"/>
      <c r="E2" s="131"/>
      <c r="F2" s="131"/>
      <c r="G2" s="131"/>
      <c r="H2" s="131"/>
      <c r="I2" s="131"/>
      <c r="J2" s="131"/>
      <c r="L2" s="109"/>
      <c r="M2" s="109"/>
      <c r="N2" s="110"/>
    </row>
    <row r="3" spans="2:22" ht="18">
      <c r="B3" s="130"/>
      <c r="C3" s="580" t="s">
        <v>86</v>
      </c>
      <c r="D3" s="580"/>
      <c r="E3" s="580"/>
      <c r="F3" s="580"/>
      <c r="G3" s="580"/>
      <c r="H3" s="580"/>
      <c r="I3" s="580"/>
      <c r="J3" s="131"/>
      <c r="L3" s="109"/>
      <c r="M3" s="109"/>
      <c r="N3" s="110"/>
    </row>
    <row r="4" spans="2:22" ht="18">
      <c r="B4" s="130"/>
      <c r="C4" s="219"/>
      <c r="D4" s="219"/>
      <c r="E4" s="219"/>
      <c r="F4" s="219"/>
      <c r="G4" s="219"/>
      <c r="H4" s="219"/>
      <c r="I4" s="219"/>
      <c r="J4" s="130"/>
      <c r="L4" s="107"/>
      <c r="M4" s="107"/>
      <c r="N4" s="110"/>
    </row>
    <row r="5" spans="2:22" ht="18">
      <c r="B5" s="130"/>
      <c r="C5" s="580" t="s">
        <v>80</v>
      </c>
      <c r="D5" s="580"/>
      <c r="E5" s="580"/>
      <c r="F5" s="580"/>
      <c r="G5" s="580"/>
      <c r="H5" s="580"/>
      <c r="I5" s="580"/>
      <c r="J5" s="131"/>
      <c r="L5" s="109"/>
      <c r="M5" s="109"/>
      <c r="N5" s="110"/>
    </row>
    <row r="6" spans="2:22" ht="18" customHeight="1">
      <c r="B6" s="130"/>
      <c r="C6" s="580" t="str">
        <f>"TAHUN PELAJARAN "&amp;Tahun_Pelajaran</f>
        <v>TAHUN PELAJARAN 2021/2022</v>
      </c>
      <c r="D6" s="580"/>
      <c r="E6" s="580"/>
      <c r="F6" s="580"/>
      <c r="G6" s="580"/>
      <c r="H6" s="580"/>
      <c r="I6" s="580"/>
      <c r="J6" s="131"/>
      <c r="K6" s="109"/>
      <c r="L6" s="109"/>
      <c r="M6" s="109"/>
      <c r="N6" s="110"/>
    </row>
    <row r="7" spans="2:22" ht="15" customHeight="1">
      <c r="B7" s="130"/>
      <c r="C7" s="130"/>
      <c r="D7" s="130"/>
      <c r="E7" s="130"/>
      <c r="F7" s="130"/>
      <c r="G7" s="130"/>
      <c r="H7" s="130"/>
      <c r="I7" s="130"/>
      <c r="J7" s="130"/>
      <c r="L7" s="107"/>
      <c r="M7" s="109"/>
      <c r="N7" s="110"/>
    </row>
    <row r="8" spans="2:22" ht="18.5" thickBot="1">
      <c r="B8" s="130"/>
      <c r="C8" s="580"/>
      <c r="D8" s="580"/>
      <c r="E8" s="580"/>
      <c r="F8" s="580"/>
      <c r="G8" s="580"/>
      <c r="H8" s="580"/>
      <c r="I8" s="219"/>
      <c r="J8" s="130"/>
      <c r="L8" s="107"/>
      <c r="M8" s="107"/>
      <c r="N8" s="110"/>
      <c r="U8" s="126"/>
    </row>
    <row r="9" spans="2:22" ht="18">
      <c r="B9" s="130"/>
      <c r="C9" s="219"/>
      <c r="D9" s="219"/>
      <c r="E9" s="219"/>
      <c r="F9" s="219"/>
      <c r="G9" s="219"/>
      <c r="H9" s="219"/>
      <c r="I9" s="219"/>
      <c r="J9" s="130"/>
      <c r="L9" s="107"/>
      <c r="M9" s="576">
        <v>1</v>
      </c>
      <c r="N9" s="110"/>
      <c r="T9" s="82"/>
      <c r="U9" s="128"/>
    </row>
    <row r="10" spans="2:22" ht="16" thickBot="1">
      <c r="B10" s="130"/>
      <c r="C10" s="130"/>
      <c r="D10" s="130" t="s">
        <v>87</v>
      </c>
      <c r="E10" s="130"/>
      <c r="F10" s="132" t="s">
        <v>67</v>
      </c>
      <c r="G10" s="132" t="str">
        <f>UPPER(VLOOKUP($M$9,Data_siswa,5))</f>
        <v/>
      </c>
      <c r="H10" s="132"/>
      <c r="I10" s="132"/>
      <c r="J10" s="132"/>
      <c r="L10" s="111"/>
      <c r="M10" s="577"/>
      <c r="N10" s="110"/>
      <c r="P10" s="78"/>
      <c r="Q10" s="78"/>
      <c r="R10" s="78"/>
      <c r="T10" s="78"/>
      <c r="U10" s="101"/>
    </row>
    <row r="11" spans="2:22" ht="15.5" hidden="1">
      <c r="B11" s="130"/>
      <c r="C11" s="130"/>
      <c r="D11" s="130" t="s">
        <v>88</v>
      </c>
      <c r="E11" s="130"/>
      <c r="F11" s="132" t="s">
        <v>67</v>
      </c>
      <c r="G11" s="133" t="str">
        <f>CONCATENATE(VLOOKUP($M$9,Data_siswa,8),", ",TEXT(VLOOKUP($M$9,Data_siswa,9),"D MMMM yyyy"))</f>
        <v>Wonogiri, 0 Januari 1900</v>
      </c>
      <c r="H11" s="134"/>
      <c r="I11" s="134"/>
      <c r="J11" s="135"/>
      <c r="L11" s="112"/>
      <c r="M11" s="107"/>
      <c r="N11" s="110"/>
      <c r="P11" s="78"/>
      <c r="Q11" s="78"/>
      <c r="R11" s="78"/>
      <c r="S11" s="78"/>
      <c r="T11" s="78"/>
      <c r="U11" s="78"/>
    </row>
    <row r="12" spans="2:22" ht="15.5" hidden="1">
      <c r="B12" s="130"/>
      <c r="C12" s="130"/>
      <c r="D12" s="130" t="s">
        <v>89</v>
      </c>
      <c r="E12" s="130"/>
      <c r="F12" s="132" t="s">
        <v>67</v>
      </c>
      <c r="G12" s="136">
        <f>VLOOKUP($M$9,Data_siswa,2)</f>
        <v>2887</v>
      </c>
      <c r="H12" s="132"/>
      <c r="I12" s="132"/>
      <c r="J12" s="132"/>
      <c r="L12" s="107"/>
      <c r="M12" s="107"/>
      <c r="N12" s="113"/>
      <c r="P12" s="78"/>
      <c r="Q12" s="78"/>
      <c r="R12" s="78"/>
      <c r="S12" s="78"/>
      <c r="T12" s="78"/>
      <c r="U12" s="78"/>
    </row>
    <row r="13" spans="2:22" ht="15.5">
      <c r="B13" s="130"/>
      <c r="C13" s="130"/>
      <c r="D13" s="130" t="s">
        <v>90</v>
      </c>
      <c r="E13" s="130"/>
      <c r="F13" s="132" t="s">
        <v>67</v>
      </c>
      <c r="G13" s="136">
        <f>VLOOKUP($M$9,Data_siswa,3)</f>
        <v>0</v>
      </c>
      <c r="H13" s="136"/>
      <c r="I13" s="136"/>
      <c r="J13" s="136"/>
      <c r="K13" s="114"/>
      <c r="L13" s="115"/>
      <c r="M13" s="114"/>
      <c r="N13" s="116"/>
      <c r="P13" s="78"/>
      <c r="Q13" s="78"/>
      <c r="R13" s="78"/>
      <c r="S13" s="78"/>
      <c r="T13" s="78"/>
      <c r="U13" s="78"/>
    </row>
    <row r="14" spans="2:22" ht="15.5">
      <c r="B14" s="130"/>
      <c r="C14" s="130"/>
      <c r="D14" s="130"/>
      <c r="E14" s="130"/>
      <c r="F14" s="132"/>
      <c r="G14" s="133"/>
      <c r="H14" s="136"/>
      <c r="I14" s="136"/>
      <c r="J14" s="136"/>
      <c r="K14" s="117"/>
      <c r="L14" s="115"/>
      <c r="M14" s="117"/>
      <c r="N14" s="116"/>
      <c r="P14" s="78"/>
      <c r="Q14" s="78"/>
      <c r="R14" s="78"/>
      <c r="S14" s="78"/>
      <c r="T14" s="78"/>
      <c r="U14" s="78"/>
    </row>
    <row r="15" spans="2:22" ht="15.5">
      <c r="B15" s="130"/>
      <c r="C15" s="130"/>
      <c r="D15" s="130"/>
      <c r="E15" s="130"/>
      <c r="F15" s="130"/>
      <c r="G15" s="130"/>
      <c r="H15" s="137"/>
      <c r="I15" s="137"/>
      <c r="J15" s="130"/>
      <c r="L15" s="107"/>
      <c r="M15" s="119"/>
      <c r="N15" s="120"/>
      <c r="P15" s="78"/>
      <c r="Q15" s="78"/>
      <c r="R15" s="78"/>
      <c r="S15" s="78"/>
      <c r="T15" s="78"/>
      <c r="U15" s="78"/>
    </row>
    <row r="16" spans="2:22" ht="15.75" customHeight="1">
      <c r="B16" s="130"/>
      <c r="C16" s="130"/>
      <c r="D16" s="578" t="s">
        <v>91</v>
      </c>
      <c r="E16" s="581" t="s">
        <v>92</v>
      </c>
      <c r="F16" s="582"/>
      <c r="G16" s="582"/>
      <c r="H16" s="583"/>
      <c r="I16" s="256" t="s">
        <v>93</v>
      </c>
      <c r="J16" s="130"/>
      <c r="L16" s="107"/>
      <c r="M16" s="110"/>
      <c r="N16" s="110"/>
      <c r="Q16" s="78"/>
      <c r="R16" s="78"/>
      <c r="S16" s="78"/>
      <c r="T16" s="78"/>
      <c r="U16" s="78"/>
      <c r="V16" s="174"/>
    </row>
    <row r="17" spans="2:25" ht="15.5">
      <c r="B17" s="130"/>
      <c r="C17" s="130"/>
      <c r="D17" s="579"/>
      <c r="E17" s="584"/>
      <c r="F17" s="585"/>
      <c r="G17" s="585"/>
      <c r="H17" s="586"/>
      <c r="I17" s="138" t="s">
        <v>30</v>
      </c>
      <c r="J17" s="130"/>
      <c r="L17" s="107"/>
      <c r="M17" s="110"/>
      <c r="N17" s="110"/>
      <c r="T17" s="78"/>
      <c r="U17" s="78"/>
      <c r="V17" s="174"/>
    </row>
    <row r="18" spans="2:25" ht="15.75" customHeight="1">
      <c r="B18" s="130"/>
      <c r="C18" s="130"/>
      <c r="D18" s="567" t="s">
        <v>131</v>
      </c>
      <c r="E18" s="568"/>
      <c r="F18" s="568"/>
      <c r="G18" s="568"/>
      <c r="H18" s="569"/>
      <c r="I18" s="138"/>
      <c r="J18" s="130"/>
      <c r="L18" s="107"/>
      <c r="M18" s="110"/>
      <c r="N18" s="110"/>
      <c r="T18" s="78"/>
      <c r="U18" s="78"/>
      <c r="V18" s="174"/>
    </row>
    <row r="19" spans="2:25" ht="15" customHeight="1">
      <c r="B19" s="130"/>
      <c r="C19" s="130"/>
      <c r="D19" s="257" t="s">
        <v>94</v>
      </c>
      <c r="E19" s="570" t="s">
        <v>130</v>
      </c>
      <c r="F19" s="571"/>
      <c r="G19" s="571"/>
      <c r="H19" s="572"/>
      <c r="I19" s="426" t="str">
        <f>IFERROR(IF($M$21="Fixed",V19,W19),"")</f>
        <v>91,20</v>
      </c>
      <c r="J19" s="130"/>
      <c r="L19" s="107"/>
      <c r="M19" s="110"/>
      <c r="N19" s="110"/>
      <c r="R19" s="87">
        <v>5</v>
      </c>
      <c r="T19" s="78"/>
      <c r="U19" s="78"/>
      <c r="V19" s="424" t="str">
        <f t="shared" ref="V19:V24" si="0">IFERROR(FIXED(VLOOKUP($M$9,US_GABUNGAN,R19)),"")</f>
        <v>91,20</v>
      </c>
      <c r="W19" s="424">
        <f t="shared" ref="W19:W24" si="1">IFERROR(VLOOKUP($M$9,US_GABUNGAN,R19),"")</f>
        <v>91.2</v>
      </c>
      <c r="Y19" s="78" t="s">
        <v>281</v>
      </c>
    </row>
    <row r="20" spans="2:25" ht="15" customHeight="1">
      <c r="B20" s="130"/>
      <c r="C20" s="130"/>
      <c r="D20" s="257" t="s">
        <v>95</v>
      </c>
      <c r="E20" s="570" t="s">
        <v>102</v>
      </c>
      <c r="F20" s="571"/>
      <c r="G20" s="571"/>
      <c r="H20" s="572"/>
      <c r="I20" s="426" t="str">
        <f t="shared" ref="I20:I31" si="2">IFERROR(IF($M$21="Fixed",V20,W20),"")</f>
        <v>89,80</v>
      </c>
      <c r="J20" s="130"/>
      <c r="L20" s="107"/>
      <c r="M20" s="110"/>
      <c r="N20" s="110"/>
      <c r="R20" s="87">
        <v>6</v>
      </c>
      <c r="T20" s="78"/>
      <c r="U20" s="78"/>
      <c r="V20" s="424" t="str">
        <f t="shared" si="0"/>
        <v>89,80</v>
      </c>
      <c r="W20" s="424">
        <f t="shared" si="1"/>
        <v>89.8</v>
      </c>
      <c r="Y20" s="78" t="s">
        <v>282</v>
      </c>
    </row>
    <row r="21" spans="2:25" ht="15.5">
      <c r="B21" s="130"/>
      <c r="C21" s="130"/>
      <c r="D21" s="257" t="s">
        <v>96</v>
      </c>
      <c r="E21" s="570" t="s">
        <v>60</v>
      </c>
      <c r="F21" s="571"/>
      <c r="G21" s="571"/>
      <c r="H21" s="572"/>
      <c r="I21" s="426" t="str">
        <f t="shared" si="2"/>
        <v>88,55</v>
      </c>
      <c r="J21" s="130"/>
      <c r="L21" s="110"/>
      <c r="M21" s="425" t="s">
        <v>282</v>
      </c>
      <c r="N21" s="110"/>
      <c r="R21" s="87">
        <v>7</v>
      </c>
      <c r="S21" s="121">
        <v>10</v>
      </c>
      <c r="T21" s="78"/>
      <c r="U21" s="78"/>
      <c r="V21" s="424" t="str">
        <f t="shared" si="0"/>
        <v>88,55</v>
      </c>
      <c r="W21" s="424">
        <f t="shared" si="1"/>
        <v>88.55</v>
      </c>
    </row>
    <row r="22" spans="2:25" ht="15.5">
      <c r="B22" s="130"/>
      <c r="C22" s="130"/>
      <c r="D22" s="257" t="s">
        <v>97</v>
      </c>
      <c r="E22" s="570" t="s">
        <v>103</v>
      </c>
      <c r="F22" s="571"/>
      <c r="G22" s="571"/>
      <c r="H22" s="572"/>
      <c r="I22" s="426" t="str">
        <f t="shared" si="2"/>
        <v>89,25</v>
      </c>
      <c r="J22" s="130"/>
      <c r="L22" s="110"/>
      <c r="M22" s="110"/>
      <c r="N22" s="110"/>
      <c r="R22" s="87">
        <v>8</v>
      </c>
      <c r="S22" s="121">
        <v>13</v>
      </c>
      <c r="T22" s="78"/>
      <c r="U22" s="78"/>
      <c r="V22" s="424" t="str">
        <f t="shared" si="0"/>
        <v>89,25</v>
      </c>
      <c r="W22" s="424">
        <f t="shared" si="1"/>
        <v>89.25</v>
      </c>
    </row>
    <row r="23" spans="2:25" ht="15.5">
      <c r="B23" s="130"/>
      <c r="C23" s="130"/>
      <c r="D23" s="257" t="s">
        <v>98</v>
      </c>
      <c r="E23" s="570" t="s">
        <v>104</v>
      </c>
      <c r="F23" s="571"/>
      <c r="G23" s="571"/>
      <c r="H23" s="572"/>
      <c r="I23" s="426" t="str">
        <f t="shared" si="2"/>
        <v>89,95</v>
      </c>
      <c r="J23" s="130"/>
      <c r="L23" s="110"/>
      <c r="M23" s="110"/>
      <c r="N23" s="110"/>
      <c r="R23" s="87">
        <v>9</v>
      </c>
      <c r="S23" s="121">
        <v>14</v>
      </c>
      <c r="T23" s="78"/>
      <c r="U23" s="78"/>
      <c r="V23" s="424" t="str">
        <f t="shared" si="0"/>
        <v>89,95</v>
      </c>
      <c r="W23" s="424">
        <f t="shared" si="1"/>
        <v>89.95</v>
      </c>
    </row>
    <row r="24" spans="2:25" ht="15.5">
      <c r="B24" s="130"/>
      <c r="C24" s="130"/>
      <c r="D24" s="257" t="s">
        <v>99</v>
      </c>
      <c r="E24" s="570" t="s">
        <v>105</v>
      </c>
      <c r="F24" s="571"/>
      <c r="G24" s="571"/>
      <c r="H24" s="572"/>
      <c r="I24" s="426" t="str">
        <f t="shared" si="2"/>
        <v>88,80</v>
      </c>
      <c r="J24" s="130"/>
      <c r="L24" s="110"/>
      <c r="M24" s="110"/>
      <c r="N24" s="110"/>
      <c r="R24" s="87">
        <v>10</v>
      </c>
      <c r="T24" s="78"/>
      <c r="U24" s="78"/>
      <c r="V24" s="424" t="str">
        <f t="shared" si="0"/>
        <v>88,80</v>
      </c>
      <c r="W24" s="424">
        <f t="shared" si="1"/>
        <v>88.8</v>
      </c>
    </row>
    <row r="25" spans="2:25" ht="15.5">
      <c r="B25" s="130"/>
      <c r="C25" s="130"/>
      <c r="D25" s="564" t="s">
        <v>132</v>
      </c>
      <c r="E25" s="565"/>
      <c r="F25" s="565"/>
      <c r="G25" s="565"/>
      <c r="H25" s="566"/>
      <c r="I25" s="426"/>
      <c r="J25" s="130"/>
      <c r="L25" s="110"/>
      <c r="M25" s="110"/>
      <c r="N25" s="110"/>
      <c r="T25" s="78"/>
      <c r="U25" s="78"/>
      <c r="V25" s="424"/>
      <c r="W25" s="424"/>
    </row>
    <row r="26" spans="2:25" ht="15" customHeight="1">
      <c r="B26" s="130"/>
      <c r="C26" s="130"/>
      <c r="D26" s="257" t="s">
        <v>94</v>
      </c>
      <c r="E26" s="570" t="s">
        <v>133</v>
      </c>
      <c r="F26" s="571"/>
      <c r="G26" s="571"/>
      <c r="H26" s="572"/>
      <c r="I26" s="426" t="str">
        <f t="shared" si="2"/>
        <v>85,20</v>
      </c>
      <c r="J26" s="130"/>
      <c r="L26" s="110"/>
      <c r="M26" s="110"/>
      <c r="N26" s="110"/>
      <c r="R26" s="87">
        <v>11</v>
      </c>
      <c r="T26" s="78"/>
      <c r="U26" s="78"/>
      <c r="V26" s="424" t="str">
        <f>IFERROR(FIXED(VLOOKUP($M$9,US_GABUNGAN,R26)),"")</f>
        <v>85,20</v>
      </c>
      <c r="W26" s="424">
        <f>IFERROR(VLOOKUP($M$9,US_GABUNGAN,R26),"")</f>
        <v>85.2</v>
      </c>
    </row>
    <row r="27" spans="2:25" ht="15" customHeight="1">
      <c r="B27" s="130"/>
      <c r="C27" s="130"/>
      <c r="D27" s="258" t="s">
        <v>95</v>
      </c>
      <c r="E27" s="570" t="s">
        <v>106</v>
      </c>
      <c r="F27" s="571"/>
      <c r="G27" s="571"/>
      <c r="H27" s="572"/>
      <c r="I27" s="426" t="str">
        <f t="shared" si="2"/>
        <v>87,20</v>
      </c>
      <c r="J27" s="130"/>
      <c r="L27" s="110"/>
      <c r="M27" s="110"/>
      <c r="N27" s="110"/>
      <c r="R27" s="87">
        <v>12</v>
      </c>
      <c r="T27" s="78"/>
      <c r="U27" s="78"/>
      <c r="V27" s="424" t="str">
        <f>IFERROR(FIXED(VLOOKUP($M$9,US_GABUNGAN,R27)),"")</f>
        <v>87,20</v>
      </c>
      <c r="W27" s="424">
        <f>IFERROR(VLOOKUP($M$9,US_GABUNGAN,R27),"")</f>
        <v>87.2</v>
      </c>
    </row>
    <row r="28" spans="2:25" ht="15.5">
      <c r="B28" s="130"/>
      <c r="C28" s="130"/>
      <c r="D28" s="258" t="s">
        <v>96</v>
      </c>
      <c r="E28" s="573" t="s">
        <v>100</v>
      </c>
      <c r="F28" s="574"/>
      <c r="G28" s="574"/>
      <c r="H28" s="575"/>
      <c r="I28" s="426"/>
      <c r="J28" s="130"/>
      <c r="L28" s="110"/>
      <c r="M28" s="110"/>
      <c r="N28" s="110"/>
      <c r="T28" s="78"/>
      <c r="U28" s="78"/>
      <c r="V28" s="424"/>
      <c r="W28" s="424"/>
    </row>
    <row r="29" spans="2:25" ht="15.5">
      <c r="B29" s="130"/>
      <c r="C29" s="130"/>
      <c r="D29" s="558"/>
      <c r="E29" s="570" t="str">
        <f>"a. "&amp;PENGATURAN!F16</f>
        <v>a. Bahasa Jawa</v>
      </c>
      <c r="F29" s="571"/>
      <c r="G29" s="571"/>
      <c r="H29" s="572"/>
      <c r="I29" s="426" t="str">
        <f t="shared" si="2"/>
        <v>84,70</v>
      </c>
      <c r="J29" s="130"/>
      <c r="L29" s="110"/>
      <c r="M29" s="110"/>
      <c r="N29" s="110"/>
      <c r="R29" s="87">
        <v>13</v>
      </c>
      <c r="T29" s="78"/>
      <c r="U29" s="78"/>
      <c r="V29" s="424" t="str">
        <f>IFERROR(FIXED(VLOOKUP($M$9,US_GABUNGAN,R29)),"")</f>
        <v>84,70</v>
      </c>
      <c r="W29" s="424">
        <f>IFERROR(VLOOKUP($M$9,US_GABUNGAN,R29),"")</f>
        <v>84.7</v>
      </c>
    </row>
    <row r="30" spans="2:25" ht="15.5">
      <c r="B30" s="130"/>
      <c r="C30" s="130"/>
      <c r="D30" s="559"/>
      <c r="E30" s="570" t="str">
        <f>"b. "&amp;PENGATURAN!F17</f>
        <v xml:space="preserve">b. </v>
      </c>
      <c r="F30" s="571"/>
      <c r="G30" s="571"/>
      <c r="H30" s="572"/>
      <c r="I30" s="426" t="str">
        <f t="shared" si="2"/>
        <v/>
      </c>
      <c r="J30" s="130"/>
      <c r="L30" s="110"/>
      <c r="M30" s="110"/>
      <c r="N30" s="110"/>
      <c r="R30" s="87">
        <v>14</v>
      </c>
      <c r="T30" s="78"/>
      <c r="U30" s="78"/>
      <c r="V30" s="424" t="str">
        <f>IFERROR(FIXED(VLOOKUP($M$9,US_GABUNGAN,R30)),"")</f>
        <v/>
      </c>
      <c r="W30" s="424" t="str">
        <f>IFERROR(VLOOKUP($M$9,US_GABUNGAN,R30),"")</f>
        <v/>
      </c>
    </row>
    <row r="31" spans="2:25" ht="15.5">
      <c r="B31" s="130"/>
      <c r="C31" s="130"/>
      <c r="D31" s="560"/>
      <c r="E31" s="570" t="str">
        <f>"c. "&amp;PENGATURAN!F18</f>
        <v xml:space="preserve">c. </v>
      </c>
      <c r="F31" s="571"/>
      <c r="G31" s="571"/>
      <c r="H31" s="572"/>
      <c r="I31" s="426" t="str">
        <f t="shared" si="2"/>
        <v/>
      </c>
      <c r="J31" s="130"/>
      <c r="L31" s="110"/>
      <c r="M31" s="110"/>
      <c r="N31" s="110"/>
      <c r="R31" s="87">
        <v>15</v>
      </c>
      <c r="T31" s="78"/>
      <c r="U31" s="78"/>
      <c r="V31" s="424" t="str">
        <f>IFERROR(FIXED(VLOOKUP($M$9,US_GABUNGAN,R31)),"")</f>
        <v/>
      </c>
      <c r="W31" s="424" t="str">
        <f>IFERROR(VLOOKUP($M$9,US_GABUNGAN,R31),"")</f>
        <v/>
      </c>
    </row>
    <row r="32" spans="2:25" ht="16.5" customHeight="1">
      <c r="B32" s="130"/>
      <c r="C32" s="130"/>
      <c r="D32" s="561" t="s">
        <v>101</v>
      </c>
      <c r="E32" s="562"/>
      <c r="F32" s="562"/>
      <c r="G32" s="562"/>
      <c r="H32" s="563"/>
      <c r="I32" s="281">
        <f>ROUND(W32,Digit_rata_rapor)</f>
        <v>88.29</v>
      </c>
      <c r="J32" s="139"/>
      <c r="L32" s="113"/>
      <c r="M32" s="110"/>
      <c r="N32" s="110"/>
      <c r="R32" s="87">
        <v>16</v>
      </c>
      <c r="T32" s="78"/>
      <c r="U32" s="78"/>
      <c r="V32" s="424"/>
      <c r="W32" s="424">
        <f>IFERROR(AVERAGE(W19:W31),"")</f>
        <v>88.294444444444451</v>
      </c>
    </row>
    <row r="33" spans="2:22" ht="15.5">
      <c r="B33" s="130"/>
      <c r="C33" s="130"/>
      <c r="D33" s="255"/>
      <c r="E33" s="255"/>
      <c r="F33" s="255"/>
      <c r="G33" s="255"/>
      <c r="H33" s="255"/>
      <c r="I33" s="255"/>
      <c r="J33" s="130"/>
      <c r="L33" s="110"/>
      <c r="M33" s="110"/>
      <c r="N33" s="110"/>
      <c r="V33" s="174"/>
    </row>
    <row r="34" spans="2:22" ht="15.5">
      <c r="B34" s="130"/>
      <c r="C34" s="557"/>
      <c r="D34" s="557"/>
      <c r="E34" s="557"/>
      <c r="F34" s="557"/>
      <c r="G34" s="557"/>
      <c r="H34" s="557"/>
      <c r="I34" s="557"/>
      <c r="J34" s="130"/>
      <c r="L34" s="110"/>
      <c r="M34" s="110"/>
      <c r="N34" s="110"/>
    </row>
    <row r="35" spans="2:22" ht="29.5" customHeight="1">
      <c r="B35" s="130"/>
      <c r="C35" s="218"/>
      <c r="D35" s="218"/>
      <c r="E35" s="218"/>
      <c r="F35" s="218"/>
      <c r="G35" s="218"/>
      <c r="H35" s="382"/>
      <c r="I35" s="139"/>
      <c r="J35" s="130"/>
      <c r="L35" s="110"/>
      <c r="M35" s="110"/>
      <c r="N35" s="110"/>
    </row>
    <row r="36" spans="2:22" ht="15.5">
      <c r="B36" s="130"/>
      <c r="C36" s="130"/>
      <c r="D36" s="130"/>
      <c r="E36" s="130"/>
      <c r="F36" s="130"/>
      <c r="G36" s="130"/>
      <c r="H36" s="391" t="str">
        <f>Kabupaten&amp;", "&amp;TEXT(Tgl_Lulus,"DD MMMM YYYY")</f>
        <v>Wonogiri, 16 Juni 2022</v>
      </c>
      <c r="I36" s="385"/>
      <c r="J36" s="130"/>
      <c r="L36" s="110"/>
      <c r="M36" s="110"/>
      <c r="N36" s="110"/>
    </row>
    <row r="37" spans="2:22" ht="15.5">
      <c r="B37" s="130"/>
      <c r="C37" s="130"/>
      <c r="D37" s="130"/>
      <c r="E37" s="130"/>
      <c r="F37" s="130"/>
      <c r="G37" s="130"/>
      <c r="H37" s="391" t="s">
        <v>261</v>
      </c>
      <c r="I37" s="130"/>
      <c r="J37" s="130"/>
      <c r="L37" s="110"/>
      <c r="M37" s="110"/>
      <c r="N37" s="110"/>
    </row>
    <row r="38" spans="2:22" ht="15.5">
      <c r="B38" s="130"/>
      <c r="C38" s="130"/>
      <c r="D38" s="130"/>
      <c r="E38" s="130"/>
      <c r="F38" s="130"/>
      <c r="G38" s="130"/>
      <c r="H38" s="391"/>
      <c r="I38" s="130"/>
      <c r="J38" s="130"/>
      <c r="L38" s="110"/>
      <c r="M38" s="110"/>
      <c r="N38" s="110"/>
    </row>
    <row r="39" spans="2:22" ht="15.5">
      <c r="B39" s="130"/>
      <c r="C39" s="130"/>
      <c r="D39" s="130"/>
      <c r="E39" s="130"/>
      <c r="F39" s="130"/>
      <c r="G39" s="130"/>
      <c r="H39" s="391"/>
      <c r="I39" s="130"/>
      <c r="J39" s="130"/>
      <c r="L39" s="110"/>
      <c r="M39" s="110"/>
      <c r="N39" s="110"/>
    </row>
    <row r="40" spans="2:22" ht="15.5">
      <c r="B40" s="130"/>
      <c r="C40" s="130"/>
      <c r="D40" s="130"/>
      <c r="E40" s="130"/>
      <c r="F40" s="130"/>
      <c r="G40" s="130"/>
      <c r="H40" s="391"/>
      <c r="I40" s="130"/>
      <c r="J40" s="130"/>
      <c r="L40" s="110"/>
      <c r="M40" s="110"/>
      <c r="N40" s="110"/>
    </row>
    <row r="41" spans="2:22" ht="15.5">
      <c r="B41" s="130"/>
      <c r="C41" s="130"/>
      <c r="D41" s="130"/>
      <c r="E41" s="130"/>
      <c r="F41" s="130"/>
      <c r="G41" s="130"/>
      <c r="H41" s="392">
        <f>Kepsek</f>
        <v>0</v>
      </c>
      <c r="I41" s="130"/>
      <c r="J41" s="140"/>
      <c r="L41" s="110"/>
      <c r="M41" s="110"/>
      <c r="N41" s="110"/>
      <c r="P41" s="122"/>
      <c r="Q41" s="122"/>
    </row>
    <row r="42" spans="2:22" ht="15.5">
      <c r="B42" s="130"/>
      <c r="C42" s="130"/>
      <c r="D42" s="130"/>
      <c r="E42" s="130"/>
      <c r="F42" s="130"/>
      <c r="G42" s="130"/>
      <c r="H42" s="394" t="str">
        <f>IF(NIP_Kepsek="","",NIP_Kepsek)</f>
        <v/>
      </c>
      <c r="I42" s="130"/>
      <c r="J42" s="141"/>
      <c r="L42" s="110"/>
      <c r="M42" s="110"/>
      <c r="N42" s="110"/>
      <c r="P42" s="123"/>
      <c r="Q42" s="123"/>
    </row>
    <row r="43" spans="2:22" ht="15.5">
      <c r="B43" s="130"/>
      <c r="C43" s="130"/>
      <c r="D43" s="130"/>
      <c r="E43" s="130"/>
      <c r="F43" s="130"/>
      <c r="G43" s="130"/>
      <c r="H43" s="130"/>
      <c r="I43" s="130"/>
      <c r="J43" s="130"/>
      <c r="L43" s="110"/>
      <c r="M43" s="110"/>
      <c r="N43" s="110"/>
    </row>
    <row r="44" spans="2:22" ht="15.5">
      <c r="B44" s="130"/>
      <c r="C44" s="130"/>
      <c r="D44" s="130"/>
      <c r="E44" s="130"/>
      <c r="F44" s="130"/>
      <c r="G44" s="130"/>
      <c r="H44" s="137"/>
      <c r="I44" s="137"/>
      <c r="J44" s="130"/>
      <c r="L44" s="110"/>
      <c r="M44" s="110"/>
      <c r="N44" s="110"/>
    </row>
    <row r="45" spans="2:22" ht="15.5">
      <c r="B45" s="130"/>
      <c r="C45" s="130"/>
      <c r="D45" s="130"/>
      <c r="E45" s="130"/>
      <c r="F45" s="130"/>
      <c r="G45" s="130"/>
      <c r="H45" s="137"/>
      <c r="I45" s="137"/>
      <c r="J45" s="130"/>
      <c r="L45" s="107"/>
      <c r="M45" s="107"/>
      <c r="N45" s="107"/>
    </row>
    <row r="46" spans="2:22" ht="15.5">
      <c r="B46" s="142"/>
      <c r="C46" s="143"/>
      <c r="D46" s="143"/>
      <c r="E46" s="143"/>
      <c r="F46" s="143"/>
      <c r="G46" s="143"/>
      <c r="H46" s="144"/>
      <c r="I46" s="144"/>
      <c r="J46" s="143"/>
      <c r="L46" s="124"/>
      <c r="M46" s="107"/>
      <c r="N46" s="107"/>
      <c r="P46" s="78"/>
      <c r="Q46" s="78"/>
      <c r="R46" s="78"/>
      <c r="S46" s="78"/>
      <c r="T46" s="78"/>
      <c r="U46" s="78"/>
    </row>
    <row r="47" spans="2:22" ht="15.5">
      <c r="B47" s="142"/>
      <c r="C47" s="143"/>
      <c r="D47" s="143"/>
      <c r="E47" s="143"/>
      <c r="F47" s="143"/>
      <c r="G47" s="143"/>
      <c r="H47" s="144"/>
      <c r="I47" s="144"/>
      <c r="J47" s="143"/>
      <c r="L47" s="124"/>
      <c r="M47" s="107"/>
      <c r="N47" s="107"/>
      <c r="P47" s="78"/>
      <c r="Q47" s="78"/>
      <c r="R47" s="78"/>
      <c r="S47" s="78"/>
      <c r="T47" s="78"/>
      <c r="U47" s="78"/>
    </row>
    <row r="48" spans="2:22" s="107" customFormat="1" ht="15.5">
      <c r="H48" s="108"/>
      <c r="I48" s="108"/>
      <c r="L48" s="124"/>
    </row>
    <row r="49" spans="3:12" s="107" customFormat="1" ht="15.5">
      <c r="H49" s="108"/>
      <c r="I49" s="108"/>
      <c r="L49" s="124"/>
    </row>
    <row r="50" spans="3:12" s="107" customFormat="1" ht="15.5">
      <c r="C50" s="125" t="s">
        <v>85</v>
      </c>
      <c r="H50" s="108"/>
      <c r="I50" s="108"/>
      <c r="L50" s="124"/>
    </row>
    <row r="51" spans="3:12" s="107" customFormat="1" ht="15.5">
      <c r="H51" s="108"/>
      <c r="I51" s="108"/>
    </row>
    <row r="52" spans="3:12" s="107" customFormat="1" ht="15.5">
      <c r="H52" s="108"/>
      <c r="I52" s="108"/>
    </row>
    <row r="53" spans="3:12" s="78" customFormat="1" ht="15.5" hidden="1">
      <c r="H53" s="79"/>
      <c r="I53" s="79"/>
    </row>
    <row r="54" spans="3:12" s="78" customFormat="1" ht="15.5" hidden="1">
      <c r="H54" s="79"/>
      <c r="I54" s="79"/>
    </row>
    <row r="55" spans="3:12" s="78" customFormat="1" ht="15.5" hidden="1">
      <c r="H55" s="79"/>
      <c r="I55" s="79"/>
    </row>
    <row r="56" spans="3:12" s="78" customFormat="1" ht="15.5" hidden="1">
      <c r="H56" s="79"/>
      <c r="I56" s="79"/>
    </row>
    <row r="57" spans="3:12" s="78" customFormat="1" ht="15.5" hidden="1">
      <c r="H57" s="79"/>
      <c r="I57" s="79"/>
    </row>
    <row r="58" spans="3:12" s="78" customFormat="1" ht="15.5" hidden="1">
      <c r="H58" s="79"/>
      <c r="I58" s="79"/>
    </row>
    <row r="59" spans="3:12" s="78" customFormat="1" ht="15.5" hidden="1">
      <c r="H59" s="79"/>
      <c r="I59" s="79"/>
    </row>
    <row r="60" spans="3:12" s="78" customFormat="1" ht="15.5" hidden="1">
      <c r="H60" s="79"/>
      <c r="I60" s="79"/>
    </row>
    <row r="61" spans="3:12" s="78" customFormat="1" ht="15.5" hidden="1">
      <c r="H61" s="79"/>
      <c r="I61" s="79"/>
    </row>
    <row r="62" spans="3:12" s="78" customFormat="1" ht="15.5" hidden="1">
      <c r="H62" s="79"/>
      <c r="I62" s="79"/>
    </row>
    <row r="63" spans="3:12" s="78" customFormat="1" ht="15.5" hidden="1">
      <c r="H63" s="79"/>
      <c r="I63" s="79"/>
    </row>
    <row r="64" spans="3:12" s="78" customFormat="1" ht="15.5" hidden="1">
      <c r="H64" s="79"/>
      <c r="I64" s="79"/>
    </row>
    <row r="65" spans="8:9" s="78" customFormat="1" ht="15.5" hidden="1">
      <c r="H65" s="79"/>
      <c r="I65" s="79"/>
    </row>
    <row r="66" spans="8:9" s="78" customFormat="1" ht="15.5" hidden="1">
      <c r="H66" s="79"/>
      <c r="I66" s="79"/>
    </row>
    <row r="67" spans="8:9" s="78" customFormat="1" ht="15.5" hidden="1">
      <c r="H67" s="79"/>
      <c r="I67" s="79"/>
    </row>
    <row r="68" spans="8:9" s="78" customFormat="1" ht="15.5" hidden="1">
      <c r="H68" s="79"/>
      <c r="I68" s="79"/>
    </row>
    <row r="69" spans="8:9" s="78" customFormat="1" ht="15.5" hidden="1">
      <c r="H69" s="79"/>
      <c r="I69" s="79"/>
    </row>
    <row r="70" spans="8:9" s="78" customFormat="1" ht="15.5" hidden="1">
      <c r="H70" s="79"/>
      <c r="I70" s="79"/>
    </row>
    <row r="71" spans="8:9" s="78" customFormat="1" ht="15.5" hidden="1">
      <c r="H71" s="79"/>
      <c r="I71" s="79"/>
    </row>
    <row r="72" spans="8:9" s="78" customFormat="1" ht="15.5" hidden="1">
      <c r="H72" s="79"/>
      <c r="I72" s="79"/>
    </row>
    <row r="73" spans="8:9" s="78" customFormat="1" ht="15.5" hidden="1">
      <c r="H73" s="79"/>
      <c r="I73" s="79"/>
    </row>
    <row r="74" spans="8:9" s="78" customFormat="1" ht="15.5" hidden="1">
      <c r="H74" s="79"/>
      <c r="I74" s="79"/>
    </row>
    <row r="75" spans="8:9" s="78" customFormat="1" ht="15.5" hidden="1">
      <c r="H75" s="79"/>
      <c r="I75" s="79"/>
    </row>
    <row r="76" spans="8:9" s="78" customFormat="1" ht="15.5" hidden="1">
      <c r="H76" s="79"/>
      <c r="I76" s="79"/>
    </row>
    <row r="77" spans="8:9" s="78" customFormat="1" ht="15.5" hidden="1">
      <c r="H77" s="79"/>
      <c r="I77" s="79"/>
    </row>
    <row r="78" spans="8:9" s="78" customFormat="1" ht="15.5" hidden="1">
      <c r="H78" s="79"/>
      <c r="I78" s="79"/>
    </row>
    <row r="79" spans="8:9" s="78" customFormat="1" ht="15.5" hidden="1">
      <c r="H79" s="79"/>
      <c r="I79" s="79"/>
    </row>
    <row r="80" spans="8:9" s="78" customFormat="1" ht="15.5" hidden="1">
      <c r="H80" s="79"/>
      <c r="I80" s="79"/>
    </row>
    <row r="81" spans="8:9" s="78" customFormat="1" ht="15.5" hidden="1">
      <c r="H81" s="79"/>
      <c r="I81" s="79"/>
    </row>
    <row r="82" spans="8:9" s="78" customFormat="1" ht="15.5" hidden="1">
      <c r="H82" s="79"/>
      <c r="I82" s="79"/>
    </row>
    <row r="83" spans="8:9" s="78" customFormat="1" ht="15.5" hidden="1">
      <c r="H83" s="79"/>
      <c r="I83" s="79"/>
    </row>
    <row r="84" spans="8:9" s="78" customFormat="1" ht="15.5" hidden="1">
      <c r="H84" s="79"/>
      <c r="I84" s="79"/>
    </row>
    <row r="85" spans="8:9" s="78" customFormat="1" ht="15.5" hidden="1">
      <c r="H85" s="79"/>
      <c r="I85" s="79"/>
    </row>
    <row r="86" spans="8:9" s="78" customFormat="1" ht="15.5" hidden="1">
      <c r="H86" s="79"/>
      <c r="I86" s="79"/>
    </row>
    <row r="87" spans="8:9" s="78" customFormat="1" ht="15.5" hidden="1">
      <c r="H87" s="79"/>
      <c r="I87" s="79"/>
    </row>
    <row r="88" spans="8:9" s="78" customFormat="1" ht="15.5" hidden="1">
      <c r="H88" s="79"/>
      <c r="I88" s="79"/>
    </row>
    <row r="89" spans="8:9" s="78" customFormat="1" ht="15.5" hidden="1">
      <c r="H89" s="79"/>
      <c r="I89" s="79"/>
    </row>
    <row r="90" spans="8:9" s="78" customFormat="1" ht="15.5" hidden="1">
      <c r="H90" s="79"/>
      <c r="I90" s="79"/>
    </row>
    <row r="91" spans="8:9" s="78" customFormat="1" ht="15.5" hidden="1">
      <c r="H91" s="79"/>
      <c r="I91" s="79"/>
    </row>
    <row r="92" spans="8:9" s="78" customFormat="1" ht="15.5" hidden="1">
      <c r="H92" s="79"/>
      <c r="I92" s="79"/>
    </row>
    <row r="93" spans="8:9" s="78" customFormat="1" ht="15.5" hidden="1">
      <c r="H93" s="79"/>
      <c r="I93" s="79"/>
    </row>
    <row r="94" spans="8:9" s="78" customFormat="1" ht="15.5" hidden="1">
      <c r="H94" s="79"/>
      <c r="I94" s="79"/>
    </row>
    <row r="95" spans="8:9" s="78" customFormat="1" ht="15.5" hidden="1">
      <c r="H95" s="79"/>
      <c r="I95" s="79"/>
    </row>
    <row r="96" spans="8:9" s="78" customFormat="1" ht="15.5" hidden="1">
      <c r="H96" s="79"/>
      <c r="I96" s="79"/>
    </row>
    <row r="97" spans="8:9" s="78" customFormat="1" ht="15.5" hidden="1">
      <c r="H97" s="79"/>
      <c r="I97" s="79"/>
    </row>
    <row r="98" spans="8:9" s="78" customFormat="1" ht="15.5" hidden="1">
      <c r="H98" s="79"/>
      <c r="I98" s="79"/>
    </row>
    <row r="99" spans="8:9" s="78" customFormat="1" ht="15.5" hidden="1">
      <c r="H99" s="79"/>
      <c r="I99" s="79"/>
    </row>
    <row r="100" spans="8:9" s="78" customFormat="1" ht="15.5" hidden="1">
      <c r="H100" s="79"/>
      <c r="I100" s="79"/>
    </row>
    <row r="101" spans="8:9" s="78" customFormat="1" ht="15.5" hidden="1">
      <c r="H101" s="79"/>
      <c r="I101" s="79"/>
    </row>
    <row r="102" spans="8:9" s="78" customFormat="1" ht="15.5" hidden="1">
      <c r="H102" s="79"/>
      <c r="I102" s="79"/>
    </row>
    <row r="103" spans="8:9" s="78" customFormat="1" ht="15.5" hidden="1">
      <c r="H103" s="79"/>
      <c r="I103" s="79"/>
    </row>
    <row r="104" spans="8:9" s="78" customFormat="1" ht="15.5" hidden="1">
      <c r="H104" s="79"/>
      <c r="I104" s="79"/>
    </row>
    <row r="105" spans="8:9" s="78" customFormat="1" ht="15.5" hidden="1">
      <c r="H105" s="79"/>
      <c r="I105" s="79"/>
    </row>
    <row r="106" spans="8:9" s="78" customFormat="1" ht="15.5" hidden="1">
      <c r="H106" s="79"/>
      <c r="I106" s="79"/>
    </row>
    <row r="107" spans="8:9" s="78" customFormat="1" ht="15.5" hidden="1">
      <c r="H107" s="79"/>
      <c r="I107" s="79"/>
    </row>
    <row r="108" spans="8:9" s="78" customFormat="1" ht="15.5" hidden="1">
      <c r="H108" s="79"/>
      <c r="I108" s="79"/>
    </row>
    <row r="109" spans="8:9" s="78" customFormat="1" ht="15.5" hidden="1">
      <c r="H109" s="79"/>
      <c r="I109" s="79"/>
    </row>
    <row r="110" spans="8:9" s="78" customFormat="1" ht="15.5" hidden="1">
      <c r="H110" s="79"/>
      <c r="I110" s="79"/>
    </row>
    <row r="111" spans="8:9" s="78" customFormat="1" ht="15.5" hidden="1">
      <c r="H111" s="79"/>
      <c r="I111" s="79"/>
    </row>
    <row r="112" spans="8:9" s="78" customFormat="1" ht="15.5" hidden="1">
      <c r="H112" s="79"/>
      <c r="I112" s="79"/>
    </row>
    <row r="113" spans="8:9" s="78" customFormat="1" ht="15.5" hidden="1">
      <c r="H113" s="79"/>
      <c r="I113" s="79"/>
    </row>
    <row r="114" spans="8:9" s="78" customFormat="1" ht="15.5" hidden="1">
      <c r="H114" s="79"/>
      <c r="I114" s="79"/>
    </row>
    <row r="115" spans="8:9" s="78" customFormat="1" ht="15.5" hidden="1">
      <c r="H115" s="79"/>
      <c r="I115" s="79"/>
    </row>
    <row r="116" spans="8:9" s="78" customFormat="1" ht="15.5" hidden="1">
      <c r="H116" s="79"/>
      <c r="I116" s="79"/>
    </row>
    <row r="117" spans="8:9" s="78" customFormat="1" ht="15.5" hidden="1">
      <c r="H117" s="79"/>
      <c r="I117" s="79"/>
    </row>
    <row r="118" spans="8:9" s="78" customFormat="1" ht="15.5" hidden="1">
      <c r="H118" s="79"/>
      <c r="I118" s="79"/>
    </row>
    <row r="119" spans="8:9" s="78" customFormat="1" ht="15.5" hidden="1">
      <c r="H119" s="79"/>
      <c r="I119" s="79"/>
    </row>
    <row r="120" spans="8:9" s="78" customFormat="1" ht="15.5" hidden="1">
      <c r="H120" s="79"/>
      <c r="I120" s="79"/>
    </row>
    <row r="121" spans="8:9" s="78" customFormat="1" ht="15.5" hidden="1">
      <c r="H121" s="79"/>
      <c r="I121" s="79"/>
    </row>
    <row r="122" spans="8:9" s="78" customFormat="1" ht="15.5" hidden="1">
      <c r="H122" s="79"/>
      <c r="I122" s="79"/>
    </row>
    <row r="123" spans="8:9" s="78" customFormat="1" ht="15.5" hidden="1">
      <c r="H123" s="79"/>
      <c r="I123" s="79"/>
    </row>
    <row r="124" spans="8:9" s="78" customFormat="1" ht="15.5" hidden="1">
      <c r="H124" s="79"/>
      <c r="I124" s="79"/>
    </row>
    <row r="125" spans="8:9" s="78" customFormat="1" ht="15.5" hidden="1">
      <c r="H125" s="79"/>
      <c r="I125" s="79"/>
    </row>
    <row r="126" spans="8:9" s="78" customFormat="1" ht="15.5" hidden="1">
      <c r="H126" s="79"/>
      <c r="I126" s="79"/>
    </row>
    <row r="127" spans="8:9" s="78" customFormat="1" ht="15.5" hidden="1">
      <c r="H127" s="79"/>
      <c r="I127" s="79"/>
    </row>
    <row r="128" spans="8:9" s="78" customFormat="1" ht="15.5" hidden="1">
      <c r="H128" s="79"/>
      <c r="I128" s="79"/>
    </row>
    <row r="129" spans="8:9" s="78" customFormat="1" ht="15.5" hidden="1">
      <c r="H129" s="79"/>
      <c r="I129" s="79"/>
    </row>
    <row r="130" spans="8:9" s="78" customFormat="1" ht="15.5" hidden="1">
      <c r="H130" s="79"/>
      <c r="I130" s="79"/>
    </row>
    <row r="131" spans="8:9" s="78" customFormat="1" ht="15.5" hidden="1">
      <c r="H131" s="79"/>
      <c r="I131" s="79"/>
    </row>
    <row r="132" spans="8:9" s="78" customFormat="1" ht="15.5" hidden="1">
      <c r="H132" s="79"/>
      <c r="I132" s="79"/>
    </row>
    <row r="133" spans="8:9" s="78" customFormat="1" ht="15.5" hidden="1">
      <c r="H133" s="79"/>
      <c r="I133" s="79"/>
    </row>
    <row r="134" spans="8:9" s="78" customFormat="1" ht="15.5" hidden="1">
      <c r="H134" s="79"/>
      <c r="I134" s="79"/>
    </row>
    <row r="135" spans="8:9" s="78" customFormat="1" ht="15.5" hidden="1">
      <c r="H135" s="79"/>
      <c r="I135" s="79"/>
    </row>
    <row r="136" spans="8:9" s="78" customFormat="1" ht="15.5" hidden="1">
      <c r="H136" s="79"/>
      <c r="I136" s="79"/>
    </row>
    <row r="137" spans="8:9" s="78" customFormat="1" ht="15.5" hidden="1">
      <c r="H137" s="79"/>
      <c r="I137" s="79"/>
    </row>
    <row r="138" spans="8:9" s="78" customFormat="1" ht="15.5" hidden="1">
      <c r="H138" s="79"/>
      <c r="I138" s="79"/>
    </row>
    <row r="139" spans="8:9" s="78" customFormat="1" ht="15.5" hidden="1">
      <c r="H139" s="79"/>
      <c r="I139" s="79"/>
    </row>
    <row r="140" spans="8:9" s="78" customFormat="1" ht="15.5" hidden="1">
      <c r="H140" s="79"/>
      <c r="I140" s="79"/>
    </row>
    <row r="141" spans="8:9" s="78" customFormat="1" ht="15.5" hidden="1">
      <c r="H141" s="79"/>
      <c r="I141" s="79"/>
    </row>
    <row r="142" spans="8:9" s="78" customFormat="1" ht="15.5" hidden="1">
      <c r="H142" s="79"/>
      <c r="I142" s="79"/>
    </row>
    <row r="143" spans="8:9" s="78" customFormat="1" ht="15.5" hidden="1">
      <c r="H143" s="79"/>
      <c r="I143" s="79"/>
    </row>
    <row r="144" spans="8:9" s="78" customFormat="1" ht="15.5" hidden="1">
      <c r="H144" s="79"/>
      <c r="I144" s="79"/>
    </row>
    <row r="145" spans="8:9" s="78" customFormat="1" ht="15.5" hidden="1">
      <c r="H145" s="79"/>
      <c r="I145" s="79"/>
    </row>
    <row r="146" spans="8:9" s="78" customFormat="1" ht="15.5" hidden="1">
      <c r="H146" s="79"/>
      <c r="I146" s="79"/>
    </row>
    <row r="147" spans="8:9" s="78" customFormat="1" ht="15.5" hidden="1">
      <c r="H147" s="79"/>
      <c r="I147" s="79"/>
    </row>
    <row r="148" spans="8:9" s="78" customFormat="1" ht="15.5" hidden="1">
      <c r="H148" s="79"/>
      <c r="I148" s="79"/>
    </row>
    <row r="149" spans="8:9" s="78" customFormat="1" ht="15.5" hidden="1">
      <c r="H149" s="79"/>
      <c r="I149" s="79"/>
    </row>
    <row r="150" spans="8:9" s="78" customFormat="1" ht="15.5" hidden="1">
      <c r="H150" s="79"/>
      <c r="I150" s="79"/>
    </row>
    <row r="151" spans="8:9" s="78" customFormat="1" ht="15.5" hidden="1">
      <c r="H151" s="79"/>
      <c r="I151" s="79"/>
    </row>
    <row r="152" spans="8:9" s="78" customFormat="1" ht="15.5" hidden="1">
      <c r="H152" s="79"/>
      <c r="I152" s="79"/>
    </row>
    <row r="153" spans="8:9" s="78" customFormat="1" ht="15.5" hidden="1">
      <c r="H153" s="79"/>
      <c r="I153" s="79"/>
    </row>
    <row r="154" spans="8:9" s="78" customFormat="1" ht="15.5" hidden="1">
      <c r="H154" s="79"/>
      <c r="I154" s="79"/>
    </row>
    <row r="155" spans="8:9" s="78" customFormat="1" ht="15.5" hidden="1">
      <c r="H155" s="79"/>
      <c r="I155" s="79"/>
    </row>
    <row r="156" spans="8:9" s="78" customFormat="1" ht="15.5" hidden="1">
      <c r="H156" s="79"/>
      <c r="I156" s="79"/>
    </row>
    <row r="157" spans="8:9" s="78" customFormat="1" ht="15.5" hidden="1">
      <c r="H157" s="79"/>
      <c r="I157" s="79"/>
    </row>
    <row r="158" spans="8:9" s="78" customFormat="1" ht="15.5" hidden="1">
      <c r="H158" s="79"/>
      <c r="I158" s="79"/>
    </row>
    <row r="159" spans="8:9" s="78" customFormat="1" ht="15.5" hidden="1">
      <c r="H159" s="79"/>
      <c r="I159" s="79"/>
    </row>
    <row r="160" spans="8:9" s="78" customFormat="1" ht="15.5" hidden="1">
      <c r="H160" s="79"/>
      <c r="I160" s="79"/>
    </row>
    <row r="161" spans="8:9" s="78" customFormat="1" ht="15.5" hidden="1">
      <c r="H161" s="79"/>
      <c r="I161" s="79"/>
    </row>
    <row r="162" spans="8:9" s="78" customFormat="1" ht="15.5" hidden="1">
      <c r="H162" s="79"/>
      <c r="I162" s="79"/>
    </row>
    <row r="163" spans="8:9" s="78" customFormat="1" ht="15.5" hidden="1">
      <c r="H163" s="79"/>
      <c r="I163" s="79"/>
    </row>
    <row r="164" spans="8:9" s="78" customFormat="1" ht="15.5" hidden="1">
      <c r="H164" s="79"/>
      <c r="I164" s="79"/>
    </row>
    <row r="165" spans="8:9" s="78" customFormat="1" ht="15.5" hidden="1">
      <c r="H165" s="79"/>
      <c r="I165" s="79"/>
    </row>
    <row r="166" spans="8:9" s="78" customFormat="1" ht="15.5" hidden="1">
      <c r="H166" s="79"/>
      <c r="I166" s="79"/>
    </row>
    <row r="167" spans="8:9" s="78" customFormat="1" ht="15.5" hidden="1">
      <c r="H167" s="79"/>
      <c r="I167" s="79"/>
    </row>
    <row r="168" spans="8:9" s="78" customFormat="1" ht="15.5" hidden="1">
      <c r="H168" s="79"/>
      <c r="I168" s="79"/>
    </row>
    <row r="169" spans="8:9" s="78" customFormat="1" ht="15.5" hidden="1">
      <c r="H169" s="79"/>
      <c r="I169" s="79"/>
    </row>
    <row r="170" spans="8:9" s="78" customFormat="1" ht="15.5" hidden="1">
      <c r="H170" s="79"/>
      <c r="I170" s="79"/>
    </row>
    <row r="171" spans="8:9" s="78" customFormat="1" ht="15.5" hidden="1">
      <c r="H171" s="79"/>
      <c r="I171" s="79"/>
    </row>
    <row r="172" spans="8:9" s="78" customFormat="1" ht="15.5" hidden="1">
      <c r="H172" s="79"/>
      <c r="I172" s="79"/>
    </row>
    <row r="173" spans="8:9" s="78" customFormat="1" ht="15.5" hidden="1">
      <c r="H173" s="79"/>
      <c r="I173" s="79"/>
    </row>
    <row r="174" spans="8:9" s="78" customFormat="1" ht="15.5" hidden="1">
      <c r="H174" s="79"/>
      <c r="I174" s="79"/>
    </row>
    <row r="175" spans="8:9" s="78" customFormat="1" ht="15.5" hidden="1">
      <c r="H175" s="79"/>
      <c r="I175" s="79"/>
    </row>
    <row r="176" spans="8:9" s="78" customFormat="1" ht="15.5" hidden="1">
      <c r="H176" s="79"/>
      <c r="I176" s="79"/>
    </row>
    <row r="177" spans="8:9" s="78" customFormat="1" ht="15.5" hidden="1">
      <c r="H177" s="79"/>
      <c r="I177" s="79"/>
    </row>
    <row r="178" spans="8:9" s="78" customFormat="1" ht="15.5" hidden="1">
      <c r="H178" s="79"/>
      <c r="I178" s="79"/>
    </row>
    <row r="179" spans="8:9" s="78" customFormat="1" ht="15.5" hidden="1">
      <c r="H179" s="79"/>
      <c r="I179" s="79"/>
    </row>
    <row r="180" spans="8:9" s="78" customFormat="1" ht="15.5" hidden="1">
      <c r="H180" s="79"/>
      <c r="I180" s="79"/>
    </row>
    <row r="181" spans="8:9" s="78" customFormat="1" ht="15.5" hidden="1">
      <c r="H181" s="79"/>
      <c r="I181" s="79"/>
    </row>
    <row r="182" spans="8:9" s="78" customFormat="1" ht="15.5" hidden="1">
      <c r="H182" s="79"/>
      <c r="I182" s="79"/>
    </row>
    <row r="183" spans="8:9" s="78" customFormat="1" ht="15.5" hidden="1">
      <c r="H183" s="79"/>
      <c r="I183" s="79"/>
    </row>
    <row r="184" spans="8:9" s="78" customFormat="1" ht="15.5" hidden="1">
      <c r="H184" s="79"/>
      <c r="I184" s="79"/>
    </row>
    <row r="185" spans="8:9" s="78" customFormat="1" ht="15.5" hidden="1">
      <c r="H185" s="79"/>
      <c r="I185" s="79"/>
    </row>
    <row r="186" spans="8:9" s="78" customFormat="1" ht="15.5" hidden="1">
      <c r="H186" s="79"/>
      <c r="I186" s="79"/>
    </row>
    <row r="187" spans="8:9" s="78" customFormat="1" ht="15.5" hidden="1">
      <c r="H187" s="79"/>
      <c r="I187" s="79"/>
    </row>
    <row r="188" spans="8:9" s="78" customFormat="1" ht="15.5" hidden="1">
      <c r="H188" s="79"/>
      <c r="I188" s="79"/>
    </row>
    <row r="189" spans="8:9" s="78" customFormat="1" ht="15.5" hidden="1">
      <c r="H189" s="79"/>
      <c r="I189" s="79"/>
    </row>
    <row r="190" spans="8:9" s="78" customFormat="1" ht="15.5" hidden="1">
      <c r="H190" s="79"/>
      <c r="I190" s="79"/>
    </row>
    <row r="191" spans="8:9" s="78" customFormat="1" ht="15.5" hidden="1">
      <c r="H191" s="79"/>
      <c r="I191" s="79"/>
    </row>
    <row r="192" spans="8:9" s="78" customFormat="1" ht="15.5" hidden="1">
      <c r="H192" s="79"/>
      <c r="I192" s="79"/>
    </row>
    <row r="193" spans="8:9" s="78" customFormat="1" ht="15.5" hidden="1">
      <c r="H193" s="79"/>
      <c r="I193" s="79"/>
    </row>
    <row r="194" spans="8:9" s="78" customFormat="1" ht="15.5" hidden="1">
      <c r="H194" s="79"/>
      <c r="I194" s="79"/>
    </row>
    <row r="195" spans="8:9" s="78" customFormat="1" ht="15.5" hidden="1">
      <c r="H195" s="79"/>
      <c r="I195" s="79"/>
    </row>
    <row r="196" spans="8:9" s="78" customFormat="1" ht="15.5" hidden="1">
      <c r="H196" s="79"/>
      <c r="I196" s="79"/>
    </row>
    <row r="197" spans="8:9" s="78" customFormat="1" ht="15.5" hidden="1">
      <c r="H197" s="79"/>
      <c r="I197" s="79"/>
    </row>
    <row r="198" spans="8:9" s="78" customFormat="1" ht="15.5" hidden="1">
      <c r="H198" s="79"/>
      <c r="I198" s="79"/>
    </row>
    <row r="199" spans="8:9" s="78" customFormat="1" ht="15.5" hidden="1">
      <c r="H199" s="79"/>
      <c r="I199" s="79"/>
    </row>
    <row r="200" spans="8:9" s="78" customFormat="1" ht="15.5" hidden="1">
      <c r="H200" s="79"/>
      <c r="I200" s="79"/>
    </row>
    <row r="201" spans="8:9" s="78" customFormat="1" ht="15.5" hidden="1">
      <c r="H201" s="79"/>
      <c r="I201" s="79"/>
    </row>
    <row r="202" spans="8:9" s="78" customFormat="1" ht="15.5" hidden="1">
      <c r="H202" s="79"/>
      <c r="I202" s="79"/>
    </row>
    <row r="203" spans="8:9" s="78" customFormat="1" ht="15.5" hidden="1">
      <c r="H203" s="79"/>
      <c r="I203" s="79"/>
    </row>
    <row r="204" spans="8:9" s="78" customFormat="1" ht="15.5" hidden="1">
      <c r="H204" s="79"/>
      <c r="I204" s="79"/>
    </row>
    <row r="205" spans="8:9" s="78" customFormat="1" ht="15.5" hidden="1">
      <c r="H205" s="79"/>
      <c r="I205" s="79"/>
    </row>
    <row r="206" spans="8:9" s="78" customFormat="1" ht="15.5" hidden="1">
      <c r="H206" s="79"/>
      <c r="I206" s="79"/>
    </row>
    <row r="207" spans="8:9" s="78" customFormat="1" ht="15.5" hidden="1">
      <c r="H207" s="79"/>
      <c r="I207" s="79"/>
    </row>
    <row r="208" spans="8:9" s="78" customFormat="1" ht="15.5" hidden="1">
      <c r="H208" s="79"/>
      <c r="I208" s="79"/>
    </row>
    <row r="209" spans="8:9" s="78" customFormat="1" ht="15.5" hidden="1">
      <c r="H209" s="79"/>
      <c r="I209" s="79"/>
    </row>
    <row r="210" spans="8:9" s="78" customFormat="1" ht="15.5" hidden="1">
      <c r="H210" s="79"/>
      <c r="I210" s="79"/>
    </row>
    <row r="211" spans="8:9" s="78" customFormat="1" ht="15.5" hidden="1">
      <c r="H211" s="79"/>
      <c r="I211" s="79"/>
    </row>
    <row r="212" spans="8:9" s="78" customFormat="1" ht="15.5" hidden="1">
      <c r="H212" s="79"/>
      <c r="I212" s="79"/>
    </row>
    <row r="213" spans="8:9" s="78" customFormat="1" ht="15.5" hidden="1">
      <c r="H213" s="79"/>
      <c r="I213" s="79"/>
    </row>
    <row r="214" spans="8:9" s="78" customFormat="1" ht="15.5" hidden="1">
      <c r="H214" s="79"/>
      <c r="I214" s="79"/>
    </row>
    <row r="215" spans="8:9" s="78" customFormat="1" ht="15.5" hidden="1">
      <c r="H215" s="79"/>
      <c r="I215" s="79"/>
    </row>
    <row r="216" spans="8:9" s="78" customFormat="1" ht="15.5" hidden="1">
      <c r="H216" s="79"/>
      <c r="I216" s="79"/>
    </row>
    <row r="217" spans="8:9" s="78" customFormat="1" ht="15.5" hidden="1">
      <c r="H217" s="79"/>
      <c r="I217" s="79"/>
    </row>
    <row r="218" spans="8:9" s="78" customFormat="1" ht="15.5" hidden="1">
      <c r="H218" s="79"/>
      <c r="I218" s="79"/>
    </row>
    <row r="219" spans="8:9" s="78" customFormat="1" ht="15.5" hidden="1">
      <c r="H219" s="79"/>
      <c r="I219" s="79"/>
    </row>
    <row r="220" spans="8:9" s="78" customFormat="1" ht="15.5" hidden="1">
      <c r="H220" s="79"/>
      <c r="I220" s="79"/>
    </row>
    <row r="221" spans="8:9" s="78" customFormat="1" ht="15.5" hidden="1">
      <c r="H221" s="79"/>
      <c r="I221" s="79"/>
    </row>
    <row r="222" spans="8:9" s="78" customFormat="1" ht="15.5" hidden="1">
      <c r="H222" s="79"/>
      <c r="I222" s="79"/>
    </row>
    <row r="223" spans="8:9" s="78" customFormat="1" ht="15.5" hidden="1">
      <c r="H223" s="79"/>
      <c r="I223" s="79"/>
    </row>
    <row r="224" spans="8:9" s="78" customFormat="1" ht="15.5" hidden="1">
      <c r="H224" s="79"/>
      <c r="I224" s="79"/>
    </row>
    <row r="225" spans="8:9" s="78" customFormat="1" ht="15.5" hidden="1">
      <c r="H225" s="79"/>
      <c r="I225" s="79"/>
    </row>
    <row r="226" spans="8:9" s="78" customFormat="1" ht="15.5" hidden="1">
      <c r="H226" s="79"/>
      <c r="I226" s="79"/>
    </row>
    <row r="227" spans="8:9" s="78" customFormat="1" ht="15.5" hidden="1">
      <c r="H227" s="79"/>
      <c r="I227" s="79"/>
    </row>
    <row r="228" spans="8:9" s="78" customFormat="1" ht="15.5" hidden="1">
      <c r="H228" s="79"/>
      <c r="I228" s="79"/>
    </row>
    <row r="229" spans="8:9" s="78" customFormat="1" ht="15.5" hidden="1">
      <c r="H229" s="79"/>
      <c r="I229" s="79"/>
    </row>
    <row r="230" spans="8:9" s="78" customFormat="1" ht="15.5" hidden="1">
      <c r="H230" s="79"/>
      <c r="I230" s="79"/>
    </row>
    <row r="231" spans="8:9" s="78" customFormat="1" ht="15.5" hidden="1">
      <c r="H231" s="79"/>
      <c r="I231" s="79"/>
    </row>
    <row r="232" spans="8:9" s="78" customFormat="1" ht="15.5" hidden="1">
      <c r="H232" s="79"/>
      <c r="I232" s="79"/>
    </row>
    <row r="233" spans="8:9" s="78" customFormat="1" ht="15.5" hidden="1">
      <c r="H233" s="79"/>
      <c r="I233" s="79"/>
    </row>
    <row r="234" spans="8:9" s="78" customFormat="1" ht="15.5" hidden="1">
      <c r="H234" s="79"/>
      <c r="I234" s="79"/>
    </row>
    <row r="235" spans="8:9" s="78" customFormat="1" ht="15.5" hidden="1">
      <c r="H235" s="79"/>
      <c r="I235" s="79"/>
    </row>
    <row r="236" spans="8:9" s="78" customFormat="1" ht="15.5" hidden="1">
      <c r="H236" s="79"/>
      <c r="I236" s="79"/>
    </row>
    <row r="237" spans="8:9" s="78" customFormat="1" ht="15.5" hidden="1">
      <c r="H237" s="79"/>
      <c r="I237" s="79"/>
    </row>
    <row r="238" spans="8:9" s="78" customFormat="1" ht="15.5" hidden="1">
      <c r="H238" s="79"/>
      <c r="I238" s="79"/>
    </row>
    <row r="239" spans="8:9" s="78" customFormat="1" ht="15.5" hidden="1">
      <c r="H239" s="79"/>
      <c r="I239" s="79"/>
    </row>
    <row r="240" spans="8:9" s="78" customFormat="1" ht="15.5" hidden="1">
      <c r="H240" s="79"/>
      <c r="I240" s="79"/>
    </row>
    <row r="241" spans="8:9" s="78" customFormat="1" ht="15.5" hidden="1">
      <c r="H241" s="79"/>
      <c r="I241" s="79"/>
    </row>
    <row r="242" spans="8:9" s="78" customFormat="1" ht="15.5" hidden="1">
      <c r="H242" s="79"/>
      <c r="I242" s="79"/>
    </row>
    <row r="243" spans="8:9" s="78" customFormat="1" ht="15.5" hidden="1">
      <c r="H243" s="79"/>
      <c r="I243" s="79"/>
    </row>
    <row r="244" spans="8:9" s="78" customFormat="1" ht="15.5" hidden="1">
      <c r="H244" s="79"/>
      <c r="I244" s="79"/>
    </row>
    <row r="245" spans="8:9" s="78" customFormat="1" ht="15.5" hidden="1">
      <c r="H245" s="79"/>
      <c r="I245" s="79"/>
    </row>
    <row r="246" spans="8:9" s="78" customFormat="1" ht="15.5" hidden="1">
      <c r="H246" s="79"/>
      <c r="I246" s="79"/>
    </row>
    <row r="247" spans="8:9" s="78" customFormat="1" ht="15.5" hidden="1">
      <c r="H247" s="79"/>
      <c r="I247" s="79"/>
    </row>
    <row r="248" spans="8:9" s="78" customFormat="1" ht="15.5" hidden="1">
      <c r="H248" s="79"/>
      <c r="I248" s="79"/>
    </row>
    <row r="249" spans="8:9" s="78" customFormat="1" ht="15.5" hidden="1">
      <c r="H249" s="79"/>
      <c r="I249" s="79"/>
    </row>
    <row r="250" spans="8:9" s="78" customFormat="1" ht="15.5" hidden="1">
      <c r="H250" s="79"/>
      <c r="I250" s="79"/>
    </row>
    <row r="251" spans="8:9" s="78" customFormat="1" ht="15.5" hidden="1">
      <c r="H251" s="79"/>
      <c r="I251" s="79"/>
    </row>
    <row r="252" spans="8:9" s="78" customFormat="1" ht="15.5" hidden="1">
      <c r="H252" s="79"/>
      <c r="I252" s="79"/>
    </row>
    <row r="253" spans="8:9" s="78" customFormat="1" ht="15.5" hidden="1">
      <c r="H253" s="79"/>
      <c r="I253" s="79"/>
    </row>
    <row r="254" spans="8:9" s="78" customFormat="1" ht="15.5" hidden="1">
      <c r="H254" s="79"/>
      <c r="I254" s="79"/>
    </row>
    <row r="255" spans="8:9" s="78" customFormat="1" ht="15.5" hidden="1">
      <c r="H255" s="79"/>
      <c r="I255" s="79"/>
    </row>
    <row r="256" spans="8:9" s="78" customFormat="1" ht="15.5" hidden="1">
      <c r="H256" s="79"/>
      <c r="I256" s="79"/>
    </row>
    <row r="257" spans="8:9" s="78" customFormat="1" ht="15.5" hidden="1">
      <c r="H257" s="79"/>
      <c r="I257" s="79"/>
    </row>
    <row r="258" spans="8:9" s="78" customFormat="1" ht="15.5" hidden="1">
      <c r="H258" s="79"/>
      <c r="I258" s="79"/>
    </row>
    <row r="259" spans="8:9" s="78" customFormat="1" ht="15.5" hidden="1">
      <c r="H259" s="79"/>
      <c r="I259" s="79"/>
    </row>
    <row r="260" spans="8:9" s="78" customFormat="1" ht="15.5" hidden="1">
      <c r="H260" s="79"/>
      <c r="I260" s="79"/>
    </row>
    <row r="261" spans="8:9" s="78" customFormat="1" ht="15.5" hidden="1">
      <c r="H261" s="79"/>
      <c r="I261" s="79"/>
    </row>
    <row r="262" spans="8:9" s="78" customFormat="1" ht="15.5" hidden="1">
      <c r="H262" s="79"/>
      <c r="I262" s="79"/>
    </row>
    <row r="263" spans="8:9" s="78" customFormat="1" ht="15.5" hidden="1">
      <c r="H263" s="79"/>
      <c r="I263" s="79"/>
    </row>
    <row r="264" spans="8:9" s="78" customFormat="1" ht="15.5" hidden="1">
      <c r="H264" s="79"/>
      <c r="I264" s="79"/>
    </row>
    <row r="265" spans="8:9" s="78" customFormat="1" ht="15.5" hidden="1">
      <c r="H265" s="79"/>
      <c r="I265" s="79"/>
    </row>
    <row r="266" spans="8:9" s="78" customFormat="1" ht="15.5" hidden="1">
      <c r="H266" s="79"/>
      <c r="I266" s="79"/>
    </row>
    <row r="267" spans="8:9" s="78" customFormat="1" ht="15.5" hidden="1">
      <c r="H267" s="79"/>
      <c r="I267" s="79"/>
    </row>
    <row r="268" spans="8:9" s="78" customFormat="1" ht="15.5" hidden="1">
      <c r="H268" s="79"/>
      <c r="I268" s="79"/>
    </row>
    <row r="269" spans="8:9" s="78" customFormat="1" ht="15.5" hidden="1">
      <c r="H269" s="79"/>
      <c r="I269" s="79"/>
    </row>
    <row r="270" spans="8:9" s="78" customFormat="1" ht="15.5" hidden="1">
      <c r="H270" s="79"/>
      <c r="I270" s="79"/>
    </row>
    <row r="271" spans="8:9" s="78" customFormat="1" ht="15.5" hidden="1">
      <c r="H271" s="79"/>
      <c r="I271" s="79"/>
    </row>
    <row r="272" spans="8:9" s="78" customFormat="1" ht="15.5" hidden="1">
      <c r="H272" s="79"/>
      <c r="I272" s="79"/>
    </row>
    <row r="273" spans="8:9" s="78" customFormat="1" ht="15.5" hidden="1">
      <c r="H273" s="79"/>
      <c r="I273" s="79"/>
    </row>
    <row r="274" spans="8:9" s="78" customFormat="1" ht="15.5" hidden="1">
      <c r="H274" s="79"/>
      <c r="I274" s="79"/>
    </row>
    <row r="275" spans="8:9" s="78" customFormat="1" ht="15.5" hidden="1">
      <c r="H275" s="79"/>
      <c r="I275" s="79"/>
    </row>
    <row r="276" spans="8:9" s="78" customFormat="1" ht="15.5" hidden="1">
      <c r="H276" s="79"/>
      <c r="I276" s="79"/>
    </row>
    <row r="277" spans="8:9" s="78" customFormat="1" ht="15.5" hidden="1">
      <c r="H277" s="79"/>
      <c r="I277" s="79"/>
    </row>
    <row r="278" spans="8:9" s="78" customFormat="1" ht="15.5" hidden="1">
      <c r="H278" s="79"/>
      <c r="I278" s="79"/>
    </row>
    <row r="279" spans="8:9" s="78" customFormat="1" ht="15.5" hidden="1">
      <c r="H279" s="79"/>
      <c r="I279" s="79"/>
    </row>
    <row r="280" spans="8:9" s="78" customFormat="1" ht="15.5" hidden="1">
      <c r="H280" s="79"/>
      <c r="I280" s="79"/>
    </row>
    <row r="281" spans="8:9" s="78" customFormat="1" ht="15.5" hidden="1">
      <c r="H281" s="79"/>
      <c r="I281" s="79"/>
    </row>
    <row r="282" spans="8:9" s="78" customFormat="1" ht="15.5" hidden="1">
      <c r="H282" s="79"/>
      <c r="I282" s="79"/>
    </row>
    <row r="283" spans="8:9" s="78" customFormat="1" ht="15.5" hidden="1">
      <c r="H283" s="79"/>
      <c r="I283" s="79"/>
    </row>
    <row r="284" spans="8:9" s="78" customFormat="1" ht="15.5" hidden="1">
      <c r="H284" s="79"/>
      <c r="I284" s="79"/>
    </row>
    <row r="285" spans="8:9" s="78" customFormat="1" ht="15.5" hidden="1">
      <c r="H285" s="79"/>
      <c r="I285" s="79"/>
    </row>
    <row r="286" spans="8:9" s="78" customFormat="1" ht="15.5" hidden="1">
      <c r="H286" s="79"/>
      <c r="I286" s="79"/>
    </row>
    <row r="287" spans="8:9" s="78" customFormat="1" ht="15.5" hidden="1">
      <c r="H287" s="79"/>
      <c r="I287" s="79"/>
    </row>
    <row r="288" spans="8:9" s="78" customFormat="1" ht="15.5" hidden="1">
      <c r="H288" s="79"/>
      <c r="I288" s="79"/>
    </row>
    <row r="289" spans="8:9" s="78" customFormat="1" ht="15.5" hidden="1">
      <c r="H289" s="79"/>
      <c r="I289" s="79"/>
    </row>
    <row r="290" spans="8:9" s="78" customFormat="1" ht="15.5" hidden="1">
      <c r="H290" s="79"/>
      <c r="I290" s="79"/>
    </row>
    <row r="291" spans="8:9" s="78" customFormat="1" ht="15.5" hidden="1">
      <c r="H291" s="79"/>
      <c r="I291" s="79"/>
    </row>
    <row r="292" spans="8:9" s="78" customFormat="1" ht="15.5" hidden="1">
      <c r="H292" s="79"/>
      <c r="I292" s="79"/>
    </row>
    <row r="293" spans="8:9" s="78" customFormat="1" ht="15.5" hidden="1">
      <c r="H293" s="79"/>
      <c r="I293" s="79"/>
    </row>
    <row r="294" spans="8:9" s="78" customFormat="1" ht="15.5" hidden="1">
      <c r="H294" s="79"/>
      <c r="I294" s="79"/>
    </row>
    <row r="295" spans="8:9" s="78" customFormat="1" ht="15.5" hidden="1">
      <c r="H295" s="79"/>
      <c r="I295" s="79"/>
    </row>
    <row r="296" spans="8:9" s="78" customFormat="1" ht="15.5" hidden="1">
      <c r="H296" s="79"/>
      <c r="I296" s="79"/>
    </row>
    <row r="297" spans="8:9" s="78" customFormat="1" ht="15.5" hidden="1">
      <c r="H297" s="79"/>
      <c r="I297" s="79"/>
    </row>
    <row r="298" spans="8:9" s="78" customFormat="1" ht="15.5" hidden="1">
      <c r="H298" s="79"/>
      <c r="I298" s="79"/>
    </row>
    <row r="299" spans="8:9" s="78" customFormat="1" ht="15.5" hidden="1">
      <c r="H299" s="79"/>
      <c r="I299" s="79"/>
    </row>
    <row r="300" spans="8:9" s="78" customFormat="1" ht="15.5" hidden="1">
      <c r="H300" s="79"/>
      <c r="I300" s="79"/>
    </row>
    <row r="301" spans="8:9" s="78" customFormat="1" ht="15.5" hidden="1">
      <c r="H301" s="79"/>
      <c r="I301" s="79"/>
    </row>
    <row r="302" spans="8:9" s="78" customFormat="1" ht="15.5" hidden="1">
      <c r="H302" s="79"/>
      <c r="I302" s="79"/>
    </row>
    <row r="303" spans="8:9" s="78" customFormat="1" ht="15.5" hidden="1">
      <c r="H303" s="79"/>
      <c r="I303" s="79"/>
    </row>
    <row r="304" spans="8:9" s="78" customFormat="1" ht="15.5" hidden="1">
      <c r="H304" s="79"/>
      <c r="I304" s="79"/>
    </row>
    <row r="305" spans="8:9" s="78" customFormat="1" ht="15.5" hidden="1">
      <c r="H305" s="79"/>
      <c r="I305" s="79"/>
    </row>
    <row r="306" spans="8:9" s="78" customFormat="1" ht="15.5" hidden="1">
      <c r="H306" s="79"/>
      <c r="I306" s="79"/>
    </row>
    <row r="307" spans="8:9" s="78" customFormat="1" ht="15.5" hidden="1">
      <c r="H307" s="79"/>
      <c r="I307" s="79"/>
    </row>
    <row r="308" spans="8:9" s="78" customFormat="1" ht="15.5" hidden="1">
      <c r="H308" s="79"/>
      <c r="I308" s="79"/>
    </row>
    <row r="309" spans="8:9" s="78" customFormat="1" ht="15.5" hidden="1">
      <c r="H309" s="79"/>
      <c r="I309" s="79"/>
    </row>
    <row r="310" spans="8:9" s="78" customFormat="1" ht="15.5" hidden="1">
      <c r="H310" s="79"/>
      <c r="I310" s="79"/>
    </row>
    <row r="311" spans="8:9" s="78" customFormat="1" ht="15.5" hidden="1">
      <c r="H311" s="79"/>
      <c r="I311" s="79"/>
    </row>
    <row r="312" spans="8:9" s="78" customFormat="1" ht="15.5" hidden="1">
      <c r="H312" s="79"/>
      <c r="I312" s="79"/>
    </row>
    <row r="313" spans="8:9" s="78" customFormat="1" ht="15.5" hidden="1">
      <c r="H313" s="79"/>
      <c r="I313" s="79"/>
    </row>
    <row r="314" spans="8:9" s="78" customFormat="1" ht="15.5" hidden="1">
      <c r="H314" s="79"/>
      <c r="I314" s="79"/>
    </row>
    <row r="315" spans="8:9" s="78" customFormat="1" ht="15.5" hidden="1">
      <c r="H315" s="79"/>
      <c r="I315" s="79"/>
    </row>
    <row r="316" spans="8:9" s="78" customFormat="1" ht="15.5" hidden="1">
      <c r="H316" s="79"/>
      <c r="I316" s="79"/>
    </row>
    <row r="317" spans="8:9" s="78" customFormat="1" ht="15.5" hidden="1">
      <c r="H317" s="79"/>
      <c r="I317" s="79"/>
    </row>
    <row r="318" spans="8:9" s="78" customFormat="1" ht="15.5" hidden="1">
      <c r="H318" s="79"/>
      <c r="I318" s="79"/>
    </row>
    <row r="319" spans="8:9" s="78" customFormat="1" ht="15.5" hidden="1">
      <c r="H319" s="79"/>
      <c r="I319" s="79"/>
    </row>
    <row r="320" spans="8:9" s="78" customFormat="1" ht="15.5" hidden="1">
      <c r="H320" s="79"/>
      <c r="I320" s="79"/>
    </row>
    <row r="321" spans="8:9" s="78" customFormat="1" ht="15.5" hidden="1">
      <c r="H321" s="79"/>
      <c r="I321" s="79"/>
    </row>
    <row r="322" spans="8:9" s="78" customFormat="1" ht="15.5" hidden="1">
      <c r="H322" s="79"/>
      <c r="I322" s="79"/>
    </row>
    <row r="323" spans="8:9" s="78" customFormat="1" ht="15.5" hidden="1">
      <c r="H323" s="79"/>
      <c r="I323" s="79"/>
    </row>
    <row r="324" spans="8:9" s="78" customFormat="1" ht="15.5" hidden="1">
      <c r="H324" s="79"/>
      <c r="I324" s="79"/>
    </row>
    <row r="325" spans="8:9" s="78" customFormat="1" ht="15.5" hidden="1">
      <c r="H325" s="79"/>
      <c r="I325" s="79"/>
    </row>
    <row r="326" spans="8:9" s="78" customFormat="1" ht="15.5" hidden="1">
      <c r="H326" s="79"/>
      <c r="I326" s="79"/>
    </row>
    <row r="327" spans="8:9" s="78" customFormat="1" ht="15.5" hidden="1">
      <c r="H327" s="79"/>
      <c r="I327" s="79"/>
    </row>
    <row r="328" spans="8:9" s="78" customFormat="1" ht="15.5" hidden="1">
      <c r="H328" s="79"/>
      <c r="I328" s="79"/>
    </row>
    <row r="329" spans="8:9" s="78" customFormat="1" ht="15.5" hidden="1">
      <c r="H329" s="79"/>
      <c r="I329" s="79"/>
    </row>
    <row r="330" spans="8:9" s="78" customFormat="1" ht="15.5" hidden="1">
      <c r="H330" s="79"/>
      <c r="I330" s="79"/>
    </row>
    <row r="331" spans="8:9" s="78" customFormat="1" ht="15.5" hidden="1">
      <c r="H331" s="79"/>
      <c r="I331" s="79"/>
    </row>
    <row r="332" spans="8:9" s="78" customFormat="1" ht="15.5" hidden="1">
      <c r="H332" s="79"/>
      <c r="I332" s="79"/>
    </row>
    <row r="333" spans="8:9" s="78" customFormat="1" ht="15.5" hidden="1">
      <c r="H333" s="79"/>
      <c r="I333" s="79"/>
    </row>
    <row r="334" spans="8:9" s="78" customFormat="1" ht="15.5" hidden="1">
      <c r="H334" s="79"/>
      <c r="I334" s="79"/>
    </row>
    <row r="335" spans="8:9" s="78" customFormat="1" ht="15.5" hidden="1">
      <c r="H335" s="79"/>
      <c r="I335" s="79"/>
    </row>
    <row r="336" spans="8:9" s="78" customFormat="1" ht="15.5" hidden="1">
      <c r="H336" s="79"/>
      <c r="I336" s="79"/>
    </row>
    <row r="337" spans="8:9" s="78" customFormat="1" ht="15.5" hidden="1">
      <c r="H337" s="79"/>
      <c r="I337" s="79"/>
    </row>
    <row r="338" spans="8:9" s="78" customFormat="1" ht="15.5" hidden="1">
      <c r="H338" s="79"/>
      <c r="I338" s="79"/>
    </row>
    <row r="339" spans="8:9" s="78" customFormat="1" ht="15.5" hidden="1">
      <c r="H339" s="79"/>
      <c r="I339" s="79"/>
    </row>
    <row r="340" spans="8:9" s="78" customFormat="1" ht="15.5" hidden="1">
      <c r="H340" s="79"/>
      <c r="I340" s="79"/>
    </row>
    <row r="341" spans="8:9" s="78" customFormat="1" ht="15.5" hidden="1">
      <c r="H341" s="79"/>
      <c r="I341" s="79"/>
    </row>
    <row r="342" spans="8:9" s="78" customFormat="1" ht="15.5" hidden="1">
      <c r="H342" s="79"/>
      <c r="I342" s="79"/>
    </row>
    <row r="343" spans="8:9" s="78" customFormat="1" ht="15.5" hidden="1">
      <c r="H343" s="79"/>
      <c r="I343" s="79"/>
    </row>
    <row r="344" spans="8:9" s="78" customFormat="1" ht="15.5" hidden="1">
      <c r="H344" s="79"/>
      <c r="I344" s="79"/>
    </row>
    <row r="345" spans="8:9" s="78" customFormat="1" ht="15.5" hidden="1">
      <c r="H345" s="79"/>
      <c r="I345" s="79"/>
    </row>
    <row r="346" spans="8:9" s="78" customFormat="1" ht="15.5" hidden="1">
      <c r="H346" s="79"/>
      <c r="I346" s="79"/>
    </row>
    <row r="347" spans="8:9" s="78" customFormat="1" ht="15.5" hidden="1">
      <c r="H347" s="79"/>
      <c r="I347" s="79"/>
    </row>
    <row r="348" spans="8:9" s="78" customFormat="1" ht="15.5" hidden="1">
      <c r="H348" s="79"/>
      <c r="I348" s="79"/>
    </row>
    <row r="349" spans="8:9" s="78" customFormat="1" ht="15.5" hidden="1">
      <c r="H349" s="79"/>
      <c r="I349" s="79"/>
    </row>
    <row r="350" spans="8:9" s="78" customFormat="1" ht="15.5" hidden="1">
      <c r="H350" s="79"/>
      <c r="I350" s="79"/>
    </row>
    <row r="351" spans="8:9" s="78" customFormat="1" ht="15.5" hidden="1">
      <c r="H351" s="79"/>
      <c r="I351" s="79"/>
    </row>
    <row r="352" spans="8:9" s="78" customFormat="1" ht="15.5" hidden="1">
      <c r="H352" s="79"/>
      <c r="I352" s="79"/>
    </row>
    <row r="353" spans="8:9" s="78" customFormat="1" ht="15.5" hidden="1">
      <c r="H353" s="79"/>
      <c r="I353" s="79"/>
    </row>
    <row r="354" spans="8:9" s="78" customFormat="1" ht="15.5" hidden="1">
      <c r="H354" s="79"/>
      <c r="I354" s="79"/>
    </row>
    <row r="355" spans="8:9" s="78" customFormat="1" ht="15.5" hidden="1">
      <c r="H355" s="79"/>
      <c r="I355" s="79"/>
    </row>
    <row r="356" spans="8:9" s="78" customFormat="1" ht="15.5" hidden="1">
      <c r="H356" s="79"/>
      <c r="I356" s="79"/>
    </row>
    <row r="357" spans="8:9" s="78" customFormat="1" ht="15.5" hidden="1">
      <c r="H357" s="79"/>
      <c r="I357" s="79"/>
    </row>
    <row r="358" spans="8:9" s="78" customFormat="1" ht="15.5" hidden="1">
      <c r="H358" s="79"/>
      <c r="I358" s="79"/>
    </row>
    <row r="359" spans="8:9" s="78" customFormat="1" ht="15.5" hidden="1">
      <c r="H359" s="79"/>
      <c r="I359" s="79"/>
    </row>
    <row r="360" spans="8:9" s="78" customFormat="1" ht="15.5" hidden="1">
      <c r="H360" s="79"/>
      <c r="I360" s="79"/>
    </row>
    <row r="361" spans="8:9" s="78" customFormat="1" ht="15.5" hidden="1">
      <c r="H361" s="79"/>
      <c r="I361" s="79"/>
    </row>
    <row r="362" spans="8:9" s="78" customFormat="1" ht="15.5" hidden="1">
      <c r="H362" s="79"/>
      <c r="I362" s="79"/>
    </row>
    <row r="363" spans="8:9" s="78" customFormat="1" ht="15.5" hidden="1">
      <c r="H363" s="79"/>
      <c r="I363" s="79"/>
    </row>
    <row r="364" spans="8:9" s="78" customFormat="1" ht="15.5" hidden="1">
      <c r="H364" s="79"/>
      <c r="I364" s="79"/>
    </row>
    <row r="365" spans="8:9" s="78" customFormat="1" ht="15.5" hidden="1">
      <c r="H365" s="79"/>
      <c r="I365" s="79"/>
    </row>
    <row r="366" spans="8:9" s="78" customFormat="1" ht="15.5" hidden="1">
      <c r="H366" s="79"/>
      <c r="I366" s="79"/>
    </row>
    <row r="367" spans="8:9" s="78" customFormat="1" ht="15.5" hidden="1">
      <c r="H367" s="79"/>
      <c r="I367" s="79"/>
    </row>
    <row r="368" spans="8:9" s="78" customFormat="1" ht="15.5" hidden="1">
      <c r="H368" s="79"/>
      <c r="I368" s="79"/>
    </row>
    <row r="369" spans="8:9" s="78" customFormat="1" ht="15.5" hidden="1">
      <c r="H369" s="79"/>
      <c r="I369" s="79"/>
    </row>
    <row r="370" spans="8:9" s="78" customFormat="1" ht="15.5" hidden="1">
      <c r="H370" s="79"/>
      <c r="I370" s="79"/>
    </row>
    <row r="371" spans="8:9" s="78" customFormat="1" ht="15.5" hidden="1">
      <c r="H371" s="79"/>
      <c r="I371" s="79"/>
    </row>
    <row r="372" spans="8:9" s="78" customFormat="1" ht="15.5" hidden="1">
      <c r="H372" s="79"/>
      <c r="I372" s="79"/>
    </row>
    <row r="373" spans="8:9" s="78" customFormat="1" ht="15.5" hidden="1">
      <c r="H373" s="79"/>
      <c r="I373" s="79"/>
    </row>
    <row r="374" spans="8:9" s="78" customFormat="1" ht="15.5" hidden="1">
      <c r="H374" s="79"/>
      <c r="I374" s="79"/>
    </row>
    <row r="375" spans="8:9" s="78" customFormat="1" ht="15.5" hidden="1">
      <c r="H375" s="79"/>
      <c r="I375" s="79"/>
    </row>
    <row r="376" spans="8:9" s="78" customFormat="1" ht="15.5" hidden="1">
      <c r="H376" s="79"/>
      <c r="I376" s="79"/>
    </row>
    <row r="377" spans="8:9" s="78" customFormat="1" ht="15.5" hidden="1">
      <c r="H377" s="79"/>
      <c r="I377" s="79"/>
    </row>
    <row r="378" spans="8:9" s="78" customFormat="1" ht="15.5" hidden="1">
      <c r="H378" s="79"/>
      <c r="I378" s="79"/>
    </row>
    <row r="379" spans="8:9" s="78" customFormat="1" ht="15.5" hidden="1">
      <c r="H379" s="79"/>
      <c r="I379" s="79"/>
    </row>
    <row r="380" spans="8:9" s="78" customFormat="1" ht="15.5" hidden="1">
      <c r="H380" s="79"/>
      <c r="I380" s="79"/>
    </row>
    <row r="381" spans="8:9" s="78" customFormat="1" ht="15.5" hidden="1">
      <c r="H381" s="79"/>
      <c r="I381" s="79"/>
    </row>
    <row r="382" spans="8:9" s="78" customFormat="1" ht="15.5" hidden="1">
      <c r="H382" s="79"/>
      <c r="I382" s="79"/>
    </row>
    <row r="383" spans="8:9" s="78" customFormat="1" ht="15.5" hidden="1">
      <c r="H383" s="79"/>
      <c r="I383" s="79"/>
    </row>
    <row r="384" spans="8:9" s="78" customFormat="1" ht="15.5" hidden="1">
      <c r="H384" s="79"/>
      <c r="I384" s="79"/>
    </row>
    <row r="385" spans="8:9" s="78" customFormat="1" ht="15.5" hidden="1">
      <c r="H385" s="79"/>
      <c r="I385" s="79"/>
    </row>
    <row r="386" spans="8:9" s="78" customFormat="1" ht="15.5" hidden="1">
      <c r="H386" s="79"/>
      <c r="I386" s="79"/>
    </row>
    <row r="387" spans="8:9" s="78" customFormat="1" ht="15.5" hidden="1">
      <c r="H387" s="79"/>
      <c r="I387" s="79"/>
    </row>
    <row r="388" spans="8:9" s="78" customFormat="1" ht="15.5" hidden="1">
      <c r="H388" s="79"/>
      <c r="I388" s="79"/>
    </row>
    <row r="389" spans="8:9" s="78" customFormat="1" ht="15.5" hidden="1">
      <c r="H389" s="79"/>
      <c r="I389" s="79"/>
    </row>
    <row r="390" spans="8:9" s="78" customFormat="1" ht="15.5" hidden="1">
      <c r="H390" s="79"/>
      <c r="I390" s="79"/>
    </row>
    <row r="391" spans="8:9" s="78" customFormat="1" ht="15.5" hidden="1">
      <c r="H391" s="79"/>
      <c r="I391" s="79"/>
    </row>
    <row r="392" spans="8:9" s="78" customFormat="1" ht="15.5" hidden="1">
      <c r="H392" s="79"/>
      <c r="I392" s="79"/>
    </row>
    <row r="393" spans="8:9" s="78" customFormat="1" ht="15.5" hidden="1">
      <c r="H393" s="79"/>
      <c r="I393" s="79"/>
    </row>
    <row r="394" spans="8:9" s="78" customFormat="1" ht="15.5" hidden="1">
      <c r="H394" s="79"/>
      <c r="I394" s="79"/>
    </row>
    <row r="395" spans="8:9" s="78" customFormat="1" ht="15.5" hidden="1">
      <c r="H395" s="79"/>
      <c r="I395" s="79"/>
    </row>
    <row r="396" spans="8:9" s="78" customFormat="1" ht="15.5" hidden="1">
      <c r="H396" s="79"/>
      <c r="I396" s="79"/>
    </row>
    <row r="397" spans="8:9" s="78" customFormat="1" ht="15.5" hidden="1">
      <c r="H397" s="79"/>
      <c r="I397" s="79"/>
    </row>
    <row r="398" spans="8:9" s="78" customFormat="1" ht="15.5" hidden="1">
      <c r="H398" s="79"/>
      <c r="I398" s="79"/>
    </row>
    <row r="399" spans="8:9" s="78" customFormat="1" ht="15.5" hidden="1">
      <c r="H399" s="79"/>
      <c r="I399" s="79"/>
    </row>
    <row r="400" spans="8:9" s="78" customFormat="1" ht="15.5" hidden="1">
      <c r="H400" s="79"/>
      <c r="I400" s="79"/>
    </row>
    <row r="401" spans="8:9" s="78" customFormat="1" ht="15.5" hidden="1">
      <c r="H401" s="79"/>
      <c r="I401" s="79"/>
    </row>
    <row r="402" spans="8:9" s="78" customFormat="1" ht="15.5" hidden="1">
      <c r="H402" s="79"/>
      <c r="I402" s="79"/>
    </row>
    <row r="403" spans="8:9" s="78" customFormat="1" ht="15.5" hidden="1">
      <c r="H403" s="79"/>
      <c r="I403" s="79"/>
    </row>
    <row r="404" spans="8:9" s="78" customFormat="1" ht="15.5" hidden="1">
      <c r="H404" s="79"/>
      <c r="I404" s="79"/>
    </row>
    <row r="405" spans="8:9" s="78" customFormat="1" ht="15.5" hidden="1">
      <c r="H405" s="79"/>
      <c r="I405" s="79"/>
    </row>
    <row r="406" spans="8:9" s="78" customFormat="1" ht="15.5" hidden="1">
      <c r="H406" s="79"/>
      <c r="I406" s="79"/>
    </row>
    <row r="407" spans="8:9" s="78" customFormat="1" ht="15.5" hidden="1">
      <c r="H407" s="79"/>
      <c r="I407" s="79"/>
    </row>
    <row r="408" spans="8:9" s="78" customFormat="1" ht="15.5" hidden="1">
      <c r="H408" s="79"/>
      <c r="I408" s="79"/>
    </row>
    <row r="409" spans="8:9" s="78" customFormat="1" ht="15.5" hidden="1">
      <c r="H409" s="79"/>
      <c r="I409" s="79"/>
    </row>
    <row r="410" spans="8:9" s="78" customFormat="1" ht="15.5" hidden="1">
      <c r="H410" s="79"/>
      <c r="I410" s="79"/>
    </row>
    <row r="411" spans="8:9" s="78" customFormat="1" ht="15.5" hidden="1">
      <c r="H411" s="79"/>
      <c r="I411" s="79"/>
    </row>
    <row r="412" spans="8:9" s="78" customFormat="1" ht="15.5" hidden="1">
      <c r="H412" s="79"/>
      <c r="I412" s="79"/>
    </row>
    <row r="413" spans="8:9" s="78" customFormat="1" ht="15.5" hidden="1">
      <c r="H413" s="79"/>
      <c r="I413" s="79"/>
    </row>
    <row r="414" spans="8:9" s="78" customFormat="1" ht="15.5" hidden="1">
      <c r="H414" s="79"/>
      <c r="I414" s="79"/>
    </row>
    <row r="415" spans="8:9" s="78" customFormat="1" ht="15.5" hidden="1">
      <c r="H415" s="79"/>
      <c r="I415" s="79"/>
    </row>
    <row r="416" spans="8:9" s="78" customFormat="1" ht="15.5" hidden="1">
      <c r="H416" s="79"/>
      <c r="I416" s="79"/>
    </row>
    <row r="417" spans="8:9" s="78" customFormat="1" ht="15.5" hidden="1">
      <c r="H417" s="79"/>
      <c r="I417" s="79"/>
    </row>
    <row r="418" spans="8:9" s="78" customFormat="1" ht="15.5" hidden="1">
      <c r="H418" s="79"/>
      <c r="I418" s="79"/>
    </row>
    <row r="419" spans="8:9" s="78" customFormat="1" ht="15.5" hidden="1">
      <c r="H419" s="79"/>
      <c r="I419" s="79"/>
    </row>
    <row r="420" spans="8:9" s="78" customFormat="1" ht="15.5" hidden="1">
      <c r="H420" s="79"/>
      <c r="I420" s="79"/>
    </row>
    <row r="421" spans="8:9" s="78" customFormat="1" ht="15.5" hidden="1">
      <c r="H421" s="79"/>
      <c r="I421" s="79"/>
    </row>
    <row r="422" spans="8:9" s="78" customFormat="1" ht="15.5" hidden="1">
      <c r="H422" s="79"/>
      <c r="I422" s="79"/>
    </row>
    <row r="423" spans="8:9" s="78" customFormat="1" ht="15.5" hidden="1">
      <c r="H423" s="79"/>
      <c r="I423" s="79"/>
    </row>
    <row r="424" spans="8:9" s="78" customFormat="1" ht="15.5" hidden="1">
      <c r="H424" s="79"/>
      <c r="I424" s="79"/>
    </row>
    <row r="425" spans="8:9" s="78" customFormat="1" ht="15.5" hidden="1">
      <c r="H425" s="79"/>
      <c r="I425" s="79"/>
    </row>
    <row r="426" spans="8:9" s="78" customFormat="1" ht="15.5" hidden="1">
      <c r="H426" s="79"/>
      <c r="I426" s="79"/>
    </row>
    <row r="427" spans="8:9" s="78" customFormat="1" ht="15.5" hidden="1">
      <c r="H427" s="79"/>
      <c r="I427" s="79"/>
    </row>
    <row r="428" spans="8:9" s="78" customFormat="1" ht="15.5" hidden="1">
      <c r="H428" s="79"/>
      <c r="I428" s="79"/>
    </row>
    <row r="429" spans="8:9" s="78" customFormat="1" ht="15.5" hidden="1">
      <c r="H429" s="79"/>
      <c r="I429" s="79"/>
    </row>
    <row r="430" spans="8:9" s="78" customFormat="1" ht="15.5" hidden="1">
      <c r="H430" s="79"/>
      <c r="I430" s="79"/>
    </row>
    <row r="431" spans="8:9" s="78" customFormat="1" ht="15.5" hidden="1">
      <c r="H431" s="79"/>
      <c r="I431" s="79"/>
    </row>
    <row r="432" spans="8:9" s="78" customFormat="1" ht="15.5" hidden="1">
      <c r="H432" s="79"/>
      <c r="I432" s="79"/>
    </row>
    <row r="433" spans="8:9" s="78" customFormat="1" ht="15.5" hidden="1">
      <c r="H433" s="79"/>
      <c r="I433" s="79"/>
    </row>
    <row r="434" spans="8:9" s="78" customFormat="1" ht="15.5" hidden="1">
      <c r="H434" s="79"/>
      <c r="I434" s="79"/>
    </row>
    <row r="435" spans="8:9" s="78" customFormat="1" ht="15.5" hidden="1">
      <c r="H435" s="79"/>
      <c r="I435" s="79"/>
    </row>
    <row r="436" spans="8:9" s="78" customFormat="1" ht="15.5" hidden="1">
      <c r="H436" s="79"/>
      <c r="I436" s="79"/>
    </row>
    <row r="437" spans="8:9" s="78" customFormat="1" ht="15.5" hidden="1">
      <c r="H437" s="79"/>
      <c r="I437" s="79"/>
    </row>
    <row r="438" spans="8:9" s="78" customFormat="1" ht="15.5" hidden="1">
      <c r="H438" s="79"/>
      <c r="I438" s="79"/>
    </row>
    <row r="439" spans="8:9" s="78" customFormat="1" ht="15.5" hidden="1">
      <c r="H439" s="79"/>
      <c r="I439" s="79"/>
    </row>
    <row r="440" spans="8:9" s="78" customFormat="1" ht="15.5" hidden="1">
      <c r="H440" s="79"/>
      <c r="I440" s="79"/>
    </row>
    <row r="441" spans="8:9" s="78" customFormat="1" ht="15.5" hidden="1">
      <c r="H441" s="79"/>
      <c r="I441" s="79"/>
    </row>
    <row r="442" spans="8:9" s="78" customFormat="1" ht="15.5" hidden="1">
      <c r="H442" s="79"/>
      <c r="I442" s="79"/>
    </row>
    <row r="443" spans="8:9" s="78" customFormat="1" ht="15.5" hidden="1">
      <c r="H443" s="79"/>
      <c r="I443" s="79"/>
    </row>
    <row r="444" spans="8:9" s="78" customFormat="1" ht="15.5" hidden="1">
      <c r="H444" s="79"/>
      <c r="I444" s="79"/>
    </row>
    <row r="445" spans="8:9" s="78" customFormat="1" ht="15.5" hidden="1">
      <c r="H445" s="79"/>
      <c r="I445" s="79"/>
    </row>
    <row r="446" spans="8:9" s="78" customFormat="1" ht="15.5" hidden="1">
      <c r="H446" s="79"/>
      <c r="I446" s="79"/>
    </row>
    <row r="447" spans="8:9" s="78" customFormat="1" ht="15.5" hidden="1">
      <c r="H447" s="79"/>
      <c r="I447" s="79"/>
    </row>
    <row r="448" spans="8:9" s="78" customFormat="1" ht="15.5" hidden="1">
      <c r="H448" s="79"/>
      <c r="I448" s="79"/>
    </row>
    <row r="449" spans="8:9" s="78" customFormat="1" ht="15.5" hidden="1">
      <c r="H449" s="79"/>
      <c r="I449" s="79"/>
    </row>
    <row r="450" spans="8:9" s="78" customFormat="1" ht="15.5" hidden="1">
      <c r="H450" s="79"/>
      <c r="I450" s="79"/>
    </row>
    <row r="451" spans="8:9" s="78" customFormat="1" ht="15.5" hidden="1">
      <c r="H451" s="79"/>
      <c r="I451" s="79"/>
    </row>
    <row r="452" spans="8:9" s="78" customFormat="1" ht="15.5" hidden="1">
      <c r="H452" s="79"/>
      <c r="I452" s="79"/>
    </row>
    <row r="453" spans="8:9" s="78" customFormat="1" ht="15.5" hidden="1">
      <c r="H453" s="79"/>
      <c r="I453" s="79"/>
    </row>
    <row r="454" spans="8:9" s="78" customFormat="1" ht="15.5" hidden="1">
      <c r="H454" s="79"/>
      <c r="I454" s="79"/>
    </row>
    <row r="455" spans="8:9" s="78" customFormat="1" ht="15.5" hidden="1">
      <c r="H455" s="79"/>
      <c r="I455" s="79"/>
    </row>
    <row r="456" spans="8:9" s="78" customFormat="1" ht="15.5" hidden="1">
      <c r="H456" s="79"/>
      <c r="I456" s="79"/>
    </row>
    <row r="457" spans="8:9" s="78" customFormat="1" ht="15.5" hidden="1">
      <c r="H457" s="79"/>
      <c r="I457" s="79"/>
    </row>
    <row r="458" spans="8:9" s="78" customFormat="1" ht="15.5" hidden="1">
      <c r="H458" s="79"/>
      <c r="I458" s="79"/>
    </row>
    <row r="459" spans="8:9" s="78" customFormat="1" ht="15.5" hidden="1">
      <c r="H459" s="79"/>
      <c r="I459" s="79"/>
    </row>
    <row r="460" spans="8:9" s="78" customFormat="1" ht="15.5" hidden="1">
      <c r="H460" s="79"/>
      <c r="I460" s="79"/>
    </row>
    <row r="461" spans="8:9" s="78" customFormat="1" ht="15.5" hidden="1">
      <c r="H461" s="79"/>
      <c r="I461" s="79"/>
    </row>
    <row r="462" spans="8:9" s="78" customFormat="1" ht="15.5" hidden="1">
      <c r="H462" s="79"/>
      <c r="I462" s="79"/>
    </row>
    <row r="463" spans="8:9" s="78" customFormat="1" ht="15.5" hidden="1">
      <c r="H463" s="79"/>
      <c r="I463" s="79"/>
    </row>
    <row r="464" spans="8:9" s="78" customFormat="1" ht="15.5" hidden="1">
      <c r="H464" s="79"/>
      <c r="I464" s="79"/>
    </row>
    <row r="465" spans="8:9" s="78" customFormat="1" ht="15.5" hidden="1">
      <c r="H465" s="79"/>
      <c r="I465" s="79"/>
    </row>
    <row r="466" spans="8:9" s="78" customFormat="1" ht="15.5" hidden="1">
      <c r="H466" s="79"/>
      <c r="I466" s="79"/>
    </row>
    <row r="467" spans="8:9" s="78" customFormat="1" ht="15.5" hidden="1">
      <c r="H467" s="79"/>
      <c r="I467" s="79"/>
    </row>
    <row r="468" spans="8:9" s="78" customFormat="1" ht="15.5" hidden="1">
      <c r="H468" s="79"/>
      <c r="I468" s="79"/>
    </row>
    <row r="469" spans="8:9" s="78" customFormat="1" ht="15.5" hidden="1">
      <c r="H469" s="79"/>
      <c r="I469" s="79"/>
    </row>
    <row r="470" spans="8:9" s="78" customFormat="1" ht="15.5" hidden="1">
      <c r="H470" s="79"/>
      <c r="I470" s="79"/>
    </row>
    <row r="471" spans="8:9" s="78" customFormat="1" ht="15.5" hidden="1">
      <c r="H471" s="79"/>
      <c r="I471" s="79"/>
    </row>
    <row r="472" spans="8:9" s="78" customFormat="1" ht="15.5" hidden="1">
      <c r="H472" s="79"/>
      <c r="I472" s="79"/>
    </row>
    <row r="473" spans="8:9" s="78" customFormat="1" ht="15.5" hidden="1">
      <c r="H473" s="79"/>
      <c r="I473" s="79"/>
    </row>
    <row r="474" spans="8:9" s="78" customFormat="1" ht="15.5" hidden="1">
      <c r="H474" s="79"/>
      <c r="I474" s="79"/>
    </row>
    <row r="475" spans="8:9" s="78" customFormat="1" ht="15.5" hidden="1">
      <c r="H475" s="79"/>
      <c r="I475" s="79"/>
    </row>
    <row r="476" spans="8:9" s="78" customFormat="1" ht="15.5" hidden="1">
      <c r="H476" s="79"/>
      <c r="I476" s="79"/>
    </row>
    <row r="477" spans="8:9" s="78" customFormat="1" ht="15.5" hidden="1">
      <c r="H477" s="79"/>
      <c r="I477" s="79"/>
    </row>
    <row r="478" spans="8:9" s="78" customFormat="1" ht="15.5" hidden="1">
      <c r="H478" s="79"/>
      <c r="I478" s="79"/>
    </row>
    <row r="479" spans="8:9" s="78" customFormat="1" ht="15.5" hidden="1">
      <c r="H479" s="79"/>
      <c r="I479" s="79"/>
    </row>
    <row r="480" spans="8:9" s="78" customFormat="1" ht="15.5" hidden="1">
      <c r="H480" s="79"/>
      <c r="I480" s="79"/>
    </row>
    <row r="481" spans="8:9" s="78" customFormat="1" ht="15.5" hidden="1">
      <c r="H481" s="79"/>
      <c r="I481" s="79"/>
    </row>
    <row r="482" spans="8:9" s="78" customFormat="1" ht="15.5" hidden="1">
      <c r="H482" s="79"/>
      <c r="I482" s="79"/>
    </row>
    <row r="483" spans="8:9" s="78" customFormat="1" ht="15.5" hidden="1">
      <c r="H483" s="79"/>
      <c r="I483" s="79"/>
    </row>
    <row r="484" spans="8:9" s="78" customFormat="1" ht="15.5" hidden="1">
      <c r="H484" s="79"/>
      <c r="I484" s="79"/>
    </row>
    <row r="485" spans="8:9" s="78" customFormat="1" ht="15.5" hidden="1">
      <c r="H485" s="79"/>
      <c r="I485" s="79"/>
    </row>
    <row r="486" spans="8:9" s="78" customFormat="1" ht="15.5" hidden="1">
      <c r="H486" s="79"/>
      <c r="I486" s="79"/>
    </row>
    <row r="487" spans="8:9" s="78" customFormat="1" ht="15.5" hidden="1">
      <c r="H487" s="79"/>
      <c r="I487" s="79"/>
    </row>
    <row r="488" spans="8:9" s="78" customFormat="1" ht="15.5" hidden="1">
      <c r="H488" s="79"/>
      <c r="I488" s="79"/>
    </row>
    <row r="489" spans="8:9" s="78" customFormat="1" ht="15.5" hidden="1">
      <c r="H489" s="79"/>
      <c r="I489" s="79"/>
    </row>
    <row r="490" spans="8:9" s="78" customFormat="1" ht="15.5" hidden="1">
      <c r="H490" s="79"/>
      <c r="I490" s="79"/>
    </row>
    <row r="491" spans="8:9" s="78" customFormat="1" ht="15.5" hidden="1">
      <c r="H491" s="79"/>
      <c r="I491" s="79"/>
    </row>
    <row r="492" spans="8:9" s="78" customFormat="1" ht="15.5" hidden="1">
      <c r="H492" s="79"/>
      <c r="I492" s="79"/>
    </row>
    <row r="493" spans="8:9" s="78" customFormat="1" ht="15.5" hidden="1">
      <c r="H493" s="79"/>
      <c r="I493" s="79"/>
    </row>
    <row r="494" spans="8:9" s="78" customFormat="1" ht="15.5" hidden="1">
      <c r="H494" s="79"/>
      <c r="I494" s="79"/>
    </row>
    <row r="495" spans="8:9" s="78" customFormat="1" ht="15.5" hidden="1">
      <c r="H495" s="79"/>
      <c r="I495" s="79"/>
    </row>
    <row r="496" spans="8:9" s="78" customFormat="1" ht="15.5" hidden="1">
      <c r="H496" s="79"/>
      <c r="I496" s="79"/>
    </row>
    <row r="497" spans="8:9" s="78" customFormat="1" ht="15.5" hidden="1">
      <c r="H497" s="79"/>
      <c r="I497" s="79"/>
    </row>
    <row r="498" spans="8:9" s="78" customFormat="1" ht="15.5" hidden="1">
      <c r="H498" s="79"/>
      <c r="I498" s="79"/>
    </row>
    <row r="499" spans="8:9" s="78" customFormat="1" ht="15.5" hidden="1">
      <c r="H499" s="79"/>
      <c r="I499" s="79"/>
    </row>
    <row r="500" spans="8:9" s="78" customFormat="1" ht="15.5" hidden="1">
      <c r="H500" s="79"/>
      <c r="I500" s="79"/>
    </row>
    <row r="501" spans="8:9" s="78" customFormat="1" ht="15.5" hidden="1">
      <c r="H501" s="79"/>
      <c r="I501" s="79"/>
    </row>
    <row r="502" spans="8:9" s="78" customFormat="1" ht="15.5" hidden="1">
      <c r="H502" s="79"/>
      <c r="I502" s="79"/>
    </row>
    <row r="503" spans="8:9" s="78" customFormat="1" ht="15.5" hidden="1">
      <c r="H503" s="79"/>
      <c r="I503" s="79"/>
    </row>
    <row r="504" spans="8:9" s="78" customFormat="1" ht="15.5" hidden="1">
      <c r="H504" s="79"/>
      <c r="I504" s="79"/>
    </row>
    <row r="505" spans="8:9" s="78" customFormat="1" ht="15.5" hidden="1">
      <c r="H505" s="79"/>
      <c r="I505" s="79"/>
    </row>
    <row r="506" spans="8:9" s="78" customFormat="1" ht="15.5" hidden="1">
      <c r="H506" s="79"/>
      <c r="I506" s="79"/>
    </row>
    <row r="507" spans="8:9" s="78" customFormat="1" ht="15.5" hidden="1">
      <c r="H507" s="79"/>
      <c r="I507" s="79"/>
    </row>
    <row r="508" spans="8:9" s="78" customFormat="1" ht="15.5" hidden="1">
      <c r="H508" s="79"/>
      <c r="I508" s="79"/>
    </row>
    <row r="509" spans="8:9" s="78" customFormat="1" ht="15.5" hidden="1">
      <c r="H509" s="79"/>
      <c r="I509" s="79"/>
    </row>
    <row r="510" spans="8:9" s="78" customFormat="1" ht="15.5" hidden="1">
      <c r="H510" s="79"/>
      <c r="I510" s="79"/>
    </row>
    <row r="511" spans="8:9" s="78" customFormat="1" ht="15.5" hidden="1">
      <c r="H511" s="79"/>
      <c r="I511" s="79"/>
    </row>
    <row r="512" spans="8:9" s="78" customFormat="1" ht="15.5" hidden="1">
      <c r="H512" s="79"/>
      <c r="I512" s="79"/>
    </row>
    <row r="513" spans="8:9" s="78" customFormat="1" ht="15.5" hidden="1">
      <c r="H513" s="79"/>
      <c r="I513" s="79"/>
    </row>
    <row r="514" spans="8:9" s="78" customFormat="1" ht="15.5" hidden="1">
      <c r="H514" s="79"/>
      <c r="I514" s="79"/>
    </row>
    <row r="515" spans="8:9" s="78" customFormat="1" ht="15.5" hidden="1">
      <c r="H515" s="79"/>
      <c r="I515" s="79"/>
    </row>
    <row r="516" spans="8:9" s="78" customFormat="1" ht="15.5" hidden="1">
      <c r="H516" s="79"/>
      <c r="I516" s="79"/>
    </row>
    <row r="517" spans="8:9" s="78" customFormat="1" ht="15.5" hidden="1">
      <c r="H517" s="79"/>
      <c r="I517" s="79"/>
    </row>
    <row r="518" spans="8:9" s="78" customFormat="1" ht="15.5" hidden="1">
      <c r="H518" s="79"/>
      <c r="I518" s="79"/>
    </row>
    <row r="519" spans="8:9" s="78" customFormat="1" ht="15.5" hidden="1">
      <c r="H519" s="79"/>
      <c r="I519" s="79"/>
    </row>
    <row r="520" spans="8:9" s="78" customFormat="1" ht="15.5" hidden="1">
      <c r="H520" s="79"/>
      <c r="I520" s="79"/>
    </row>
    <row r="521" spans="8:9" s="78" customFormat="1" ht="15.5" hidden="1">
      <c r="H521" s="79"/>
      <c r="I521" s="79"/>
    </row>
    <row r="522" spans="8:9" s="78" customFormat="1" ht="15.5" hidden="1">
      <c r="H522" s="79"/>
      <c r="I522" s="79"/>
    </row>
    <row r="523" spans="8:9" s="78" customFormat="1" ht="15.5" hidden="1">
      <c r="H523" s="79"/>
      <c r="I523" s="79"/>
    </row>
    <row r="524" spans="8:9" s="78" customFormat="1" ht="15.5" hidden="1">
      <c r="H524" s="79"/>
      <c r="I524" s="79"/>
    </row>
    <row r="525" spans="8:9" s="78" customFormat="1" ht="15.5" hidden="1">
      <c r="H525" s="79"/>
      <c r="I525" s="79"/>
    </row>
    <row r="526" spans="8:9" s="78" customFormat="1" ht="15.5" hidden="1">
      <c r="H526" s="79"/>
      <c r="I526" s="79"/>
    </row>
    <row r="527" spans="8:9" s="78" customFormat="1" ht="15.5" hidden="1">
      <c r="H527" s="79"/>
      <c r="I527" s="79"/>
    </row>
    <row r="528" spans="8:9" s="78" customFormat="1" ht="15.5" hidden="1">
      <c r="H528" s="79"/>
      <c r="I528" s="79"/>
    </row>
    <row r="529" spans="8:9" s="78" customFormat="1" ht="15.5" hidden="1">
      <c r="H529" s="79"/>
      <c r="I529" s="79"/>
    </row>
    <row r="530" spans="8:9" s="78" customFormat="1" ht="15.5" hidden="1">
      <c r="H530" s="79"/>
      <c r="I530" s="79"/>
    </row>
    <row r="531" spans="8:9" s="78" customFormat="1" ht="15.5" hidden="1">
      <c r="H531" s="79"/>
      <c r="I531" s="79"/>
    </row>
    <row r="532" spans="8:9" s="78" customFormat="1" ht="15.5" hidden="1">
      <c r="H532" s="79"/>
      <c r="I532" s="79"/>
    </row>
    <row r="533" spans="8:9" s="78" customFormat="1" ht="15.5" hidden="1">
      <c r="H533" s="79"/>
      <c r="I533" s="79"/>
    </row>
    <row r="534" spans="8:9" s="78" customFormat="1" ht="15.5" hidden="1">
      <c r="H534" s="79"/>
      <c r="I534" s="79"/>
    </row>
    <row r="535" spans="8:9" s="78" customFormat="1" ht="15.5" hidden="1">
      <c r="H535" s="79"/>
      <c r="I535" s="79"/>
    </row>
    <row r="536" spans="8:9" s="78" customFormat="1" ht="15.5" hidden="1">
      <c r="H536" s="79"/>
      <c r="I536" s="79"/>
    </row>
    <row r="537" spans="8:9" s="78" customFormat="1" ht="15.5" hidden="1">
      <c r="H537" s="79"/>
      <c r="I537" s="79"/>
    </row>
    <row r="538" spans="8:9" s="78" customFormat="1" ht="15.5" hidden="1">
      <c r="H538" s="79"/>
      <c r="I538" s="79"/>
    </row>
    <row r="539" spans="8:9" s="78" customFormat="1" ht="15.5" hidden="1">
      <c r="H539" s="79"/>
      <c r="I539" s="79"/>
    </row>
    <row r="540" spans="8:9" s="78" customFormat="1" ht="15.5" hidden="1">
      <c r="H540" s="79"/>
      <c r="I540" s="79"/>
    </row>
    <row r="541" spans="8:9" s="78" customFormat="1" ht="15.5" hidden="1">
      <c r="H541" s="79"/>
      <c r="I541" s="79"/>
    </row>
    <row r="542" spans="8:9" s="78" customFormat="1" ht="15.5" hidden="1">
      <c r="H542" s="79"/>
      <c r="I542" s="79"/>
    </row>
    <row r="543" spans="8:9" s="78" customFormat="1" ht="15.5" hidden="1">
      <c r="H543" s="79"/>
      <c r="I543" s="79"/>
    </row>
    <row r="544" spans="8:9" s="78" customFormat="1" ht="15.5" hidden="1">
      <c r="H544" s="79"/>
      <c r="I544" s="79"/>
    </row>
    <row r="545" spans="8:9" s="78" customFormat="1" ht="15.5" hidden="1">
      <c r="H545" s="79"/>
      <c r="I545" s="79"/>
    </row>
    <row r="546" spans="8:9" s="78" customFormat="1" ht="15.5" hidden="1">
      <c r="H546" s="79"/>
      <c r="I546" s="79"/>
    </row>
    <row r="547" spans="8:9" s="78" customFormat="1" ht="15.5" hidden="1">
      <c r="H547" s="79"/>
      <c r="I547" s="79"/>
    </row>
    <row r="548" spans="8:9" s="78" customFormat="1" ht="15.5" hidden="1">
      <c r="H548" s="79"/>
      <c r="I548" s="79"/>
    </row>
    <row r="549" spans="8:9" s="78" customFormat="1" ht="15.5" hidden="1">
      <c r="H549" s="79"/>
      <c r="I549" s="79"/>
    </row>
    <row r="550" spans="8:9" s="78" customFormat="1" ht="15.5" hidden="1">
      <c r="H550" s="79"/>
      <c r="I550" s="79"/>
    </row>
    <row r="551" spans="8:9" s="78" customFormat="1" ht="15.5" hidden="1">
      <c r="H551" s="79"/>
      <c r="I551" s="79"/>
    </row>
    <row r="552" spans="8:9" s="78" customFormat="1" ht="15.5" hidden="1">
      <c r="H552" s="79"/>
      <c r="I552" s="79"/>
    </row>
    <row r="553" spans="8:9" s="78" customFormat="1" ht="15.5" hidden="1">
      <c r="H553" s="79"/>
      <c r="I553" s="79"/>
    </row>
    <row r="554" spans="8:9" s="78" customFormat="1" ht="15.5" hidden="1">
      <c r="H554" s="79"/>
      <c r="I554" s="79"/>
    </row>
    <row r="555" spans="8:9" s="78" customFormat="1" ht="15.5" hidden="1">
      <c r="H555" s="79"/>
      <c r="I555" s="79"/>
    </row>
    <row r="556" spans="8:9" s="78" customFormat="1" ht="15.5" hidden="1">
      <c r="H556" s="79"/>
      <c r="I556" s="79"/>
    </row>
    <row r="557" spans="8:9" s="78" customFormat="1" ht="15.5" hidden="1">
      <c r="H557" s="79"/>
      <c r="I557" s="79"/>
    </row>
    <row r="558" spans="8:9" s="78" customFormat="1" ht="15.5" hidden="1">
      <c r="H558" s="79"/>
      <c r="I558" s="79"/>
    </row>
    <row r="559" spans="8:9" s="78" customFormat="1" ht="15.5" hidden="1">
      <c r="H559" s="79"/>
      <c r="I559" s="79"/>
    </row>
    <row r="560" spans="8:9" s="78" customFormat="1" ht="15.5" hidden="1">
      <c r="H560" s="79"/>
      <c r="I560" s="79"/>
    </row>
    <row r="561" spans="8:9" s="78" customFormat="1" ht="15.5" hidden="1">
      <c r="H561" s="79"/>
      <c r="I561" s="79"/>
    </row>
    <row r="562" spans="8:9" s="78" customFormat="1" ht="15.5" hidden="1">
      <c r="H562" s="79"/>
      <c r="I562" s="79"/>
    </row>
    <row r="563" spans="8:9" s="78" customFormat="1" ht="15.5" hidden="1">
      <c r="H563" s="79"/>
      <c r="I563" s="79"/>
    </row>
    <row r="564" spans="8:9" s="78" customFormat="1" ht="15.5" hidden="1">
      <c r="H564" s="79"/>
      <c r="I564" s="79"/>
    </row>
    <row r="565" spans="8:9" s="78" customFormat="1" ht="15.5" hidden="1">
      <c r="H565" s="79"/>
      <c r="I565" s="79"/>
    </row>
    <row r="566" spans="8:9" s="78" customFormat="1" ht="15.5" hidden="1">
      <c r="H566" s="79"/>
      <c r="I566" s="79"/>
    </row>
    <row r="567" spans="8:9" s="78" customFormat="1" ht="15.5" hidden="1">
      <c r="H567" s="79"/>
      <c r="I567" s="79"/>
    </row>
    <row r="568" spans="8:9" s="78" customFormat="1" ht="15.5" hidden="1">
      <c r="H568" s="79"/>
      <c r="I568" s="79"/>
    </row>
    <row r="569" spans="8:9" s="78" customFormat="1" ht="15.5" hidden="1">
      <c r="H569" s="79"/>
      <c r="I569" s="79"/>
    </row>
    <row r="570" spans="8:9" s="78" customFormat="1" ht="15.5" hidden="1">
      <c r="H570" s="79"/>
      <c r="I570" s="79"/>
    </row>
    <row r="571" spans="8:9" s="78" customFormat="1" ht="15.5" hidden="1">
      <c r="H571" s="79"/>
      <c r="I571" s="79"/>
    </row>
    <row r="572" spans="8:9" s="78" customFormat="1" ht="15.5" hidden="1">
      <c r="H572" s="79"/>
      <c r="I572" s="79"/>
    </row>
    <row r="573" spans="8:9" s="78" customFormat="1" ht="15.5" hidden="1">
      <c r="H573" s="79"/>
      <c r="I573" s="79"/>
    </row>
    <row r="574" spans="8:9" s="78" customFormat="1" ht="15.5" hidden="1">
      <c r="H574" s="79"/>
      <c r="I574" s="79"/>
    </row>
    <row r="575" spans="8:9" s="78" customFormat="1" ht="15.5" hidden="1">
      <c r="H575" s="79"/>
      <c r="I575" s="79"/>
    </row>
    <row r="576" spans="8:9" s="78" customFormat="1" ht="15.5" hidden="1">
      <c r="H576" s="79"/>
      <c r="I576" s="79"/>
    </row>
    <row r="577" spans="8:9" s="78" customFormat="1" ht="15.5" hidden="1">
      <c r="H577" s="79"/>
      <c r="I577" s="79"/>
    </row>
    <row r="578" spans="8:9" s="78" customFormat="1" ht="15.5" hidden="1">
      <c r="H578" s="79"/>
      <c r="I578" s="79"/>
    </row>
    <row r="579" spans="8:9" s="78" customFormat="1" ht="15.5" hidden="1">
      <c r="H579" s="79"/>
      <c r="I579" s="79"/>
    </row>
    <row r="580" spans="8:9" s="78" customFormat="1" ht="15.5" hidden="1">
      <c r="H580" s="79"/>
      <c r="I580" s="79"/>
    </row>
    <row r="581" spans="8:9" s="78" customFormat="1" ht="15.5" hidden="1">
      <c r="H581" s="79"/>
      <c r="I581" s="79"/>
    </row>
    <row r="582" spans="8:9" s="78" customFormat="1" ht="15.5" hidden="1">
      <c r="H582" s="79"/>
      <c r="I582" s="79"/>
    </row>
    <row r="583" spans="8:9" s="78" customFormat="1" ht="15.5" hidden="1">
      <c r="H583" s="79"/>
      <c r="I583" s="79"/>
    </row>
    <row r="584" spans="8:9" s="78" customFormat="1" ht="15.5" hidden="1">
      <c r="H584" s="79"/>
      <c r="I584" s="79"/>
    </row>
    <row r="585" spans="8:9" s="78" customFormat="1" ht="15.5" hidden="1">
      <c r="H585" s="79"/>
      <c r="I585" s="79"/>
    </row>
    <row r="586" spans="8:9" s="78" customFormat="1" ht="15.5" hidden="1">
      <c r="H586" s="79"/>
      <c r="I586" s="79"/>
    </row>
    <row r="587" spans="8:9" s="78" customFormat="1" ht="15.5" hidden="1">
      <c r="H587" s="79"/>
      <c r="I587" s="79"/>
    </row>
    <row r="588" spans="8:9" s="78" customFormat="1" ht="15.5" hidden="1">
      <c r="H588" s="79"/>
      <c r="I588" s="79"/>
    </row>
    <row r="589" spans="8:9" s="78" customFormat="1" ht="15.5" hidden="1">
      <c r="H589" s="79"/>
      <c r="I589" s="79"/>
    </row>
    <row r="590" spans="8:9" s="78" customFormat="1" ht="15.5" hidden="1">
      <c r="H590" s="79"/>
      <c r="I590" s="79"/>
    </row>
    <row r="591" spans="8:9" s="78" customFormat="1" ht="15.5" hidden="1">
      <c r="H591" s="79"/>
      <c r="I591" s="79"/>
    </row>
    <row r="592" spans="8:9" s="78" customFormat="1" ht="15.5" hidden="1">
      <c r="H592" s="79"/>
      <c r="I592" s="79"/>
    </row>
    <row r="593" spans="8:9" s="78" customFormat="1" ht="15.5" hidden="1">
      <c r="H593" s="79"/>
      <c r="I593" s="79"/>
    </row>
    <row r="594" spans="8:9" s="78" customFormat="1" ht="15.5" hidden="1">
      <c r="H594" s="79"/>
      <c r="I594" s="79"/>
    </row>
    <row r="595" spans="8:9" s="78" customFormat="1" ht="15.5" hidden="1">
      <c r="H595" s="79"/>
      <c r="I595" s="79"/>
    </row>
    <row r="596" spans="8:9" s="78" customFormat="1" ht="15.5" hidden="1">
      <c r="H596" s="79"/>
      <c r="I596" s="79"/>
    </row>
    <row r="597" spans="8:9" s="78" customFormat="1" ht="15.5" hidden="1">
      <c r="H597" s="79"/>
      <c r="I597" s="79"/>
    </row>
    <row r="598" spans="8:9" s="78" customFormat="1" ht="15.5" hidden="1">
      <c r="H598" s="79"/>
      <c r="I598" s="79"/>
    </row>
    <row r="599" spans="8:9" s="78" customFormat="1" ht="15.5" hidden="1">
      <c r="H599" s="79"/>
      <c r="I599" s="79"/>
    </row>
    <row r="600" spans="8:9" s="78" customFormat="1" ht="15.5" hidden="1">
      <c r="H600" s="79"/>
      <c r="I600" s="79"/>
    </row>
    <row r="601" spans="8:9" s="78" customFormat="1" ht="15.5" hidden="1">
      <c r="H601" s="79"/>
      <c r="I601" s="79"/>
    </row>
    <row r="602" spans="8:9" s="78" customFormat="1" ht="15.5" hidden="1">
      <c r="H602" s="79"/>
      <c r="I602" s="79"/>
    </row>
    <row r="603" spans="8:9" s="78" customFormat="1" ht="15.5" hidden="1">
      <c r="H603" s="79"/>
      <c r="I603" s="79"/>
    </row>
    <row r="604" spans="8:9" s="78" customFormat="1" ht="15.5" hidden="1">
      <c r="H604" s="79"/>
      <c r="I604" s="79"/>
    </row>
    <row r="605" spans="8:9" s="78" customFormat="1" ht="15.5" hidden="1">
      <c r="H605" s="79"/>
      <c r="I605" s="79"/>
    </row>
    <row r="606" spans="8:9" s="78" customFormat="1" ht="15.5" hidden="1">
      <c r="H606" s="79"/>
      <c r="I606" s="79"/>
    </row>
    <row r="607" spans="8:9" s="78" customFormat="1" ht="15.5" hidden="1">
      <c r="H607" s="79"/>
      <c r="I607" s="79"/>
    </row>
    <row r="608" spans="8:9" s="78" customFormat="1" ht="15.5" hidden="1">
      <c r="H608" s="79"/>
      <c r="I608" s="79"/>
    </row>
    <row r="609" spans="8:9" s="78" customFormat="1" ht="15.5" hidden="1">
      <c r="H609" s="79"/>
      <c r="I609" s="79"/>
    </row>
    <row r="610" spans="8:9" s="78" customFormat="1" ht="15.5" hidden="1">
      <c r="H610" s="79"/>
      <c r="I610" s="79"/>
    </row>
    <row r="611" spans="8:9" s="78" customFormat="1" ht="15.5" hidden="1">
      <c r="H611" s="79"/>
      <c r="I611" s="79"/>
    </row>
    <row r="612" spans="8:9" s="78" customFormat="1" ht="15.5" hidden="1">
      <c r="H612" s="79"/>
      <c r="I612" s="79"/>
    </row>
    <row r="613" spans="8:9" s="78" customFormat="1" ht="15.5" hidden="1">
      <c r="H613" s="79"/>
      <c r="I613" s="79"/>
    </row>
    <row r="614" spans="8:9" s="78" customFormat="1" ht="15.5" hidden="1">
      <c r="H614" s="79"/>
      <c r="I614" s="79"/>
    </row>
    <row r="615" spans="8:9" s="78" customFormat="1" ht="15.5" hidden="1">
      <c r="H615" s="79"/>
      <c r="I615" s="79"/>
    </row>
    <row r="616" spans="8:9" s="78" customFormat="1" ht="15.5" hidden="1">
      <c r="H616" s="79"/>
      <c r="I616" s="79"/>
    </row>
    <row r="617" spans="8:9" s="78" customFormat="1" ht="15.5" hidden="1">
      <c r="H617" s="79"/>
      <c r="I617" s="79"/>
    </row>
    <row r="618" spans="8:9" s="78" customFormat="1" ht="15.5" hidden="1">
      <c r="H618" s="79"/>
      <c r="I618" s="79"/>
    </row>
    <row r="619" spans="8:9" s="78" customFormat="1" ht="15.5" hidden="1">
      <c r="H619" s="79"/>
      <c r="I619" s="79"/>
    </row>
    <row r="620" spans="8:9" s="78" customFormat="1" ht="15.5" hidden="1">
      <c r="H620" s="79"/>
      <c r="I620" s="79"/>
    </row>
    <row r="621" spans="8:9" s="78" customFormat="1" ht="15.5" hidden="1">
      <c r="H621" s="79"/>
      <c r="I621" s="79"/>
    </row>
    <row r="622" spans="8:9" s="78" customFormat="1" ht="15.5" hidden="1">
      <c r="H622" s="79"/>
      <c r="I622" s="79"/>
    </row>
    <row r="623" spans="8:9" s="78" customFormat="1" ht="15.5" hidden="1">
      <c r="H623" s="79"/>
      <c r="I623" s="79"/>
    </row>
    <row r="624" spans="8:9" s="78" customFormat="1" ht="15.5" hidden="1">
      <c r="H624" s="79"/>
      <c r="I624" s="79"/>
    </row>
    <row r="625" spans="8:9" s="78" customFormat="1" ht="15.5" hidden="1">
      <c r="H625" s="79"/>
      <c r="I625" s="79"/>
    </row>
    <row r="626" spans="8:9" s="78" customFormat="1" ht="15.5" hidden="1">
      <c r="H626" s="79"/>
      <c r="I626" s="79"/>
    </row>
    <row r="627" spans="8:9" s="78" customFormat="1" ht="15.5" hidden="1">
      <c r="H627" s="79"/>
      <c r="I627" s="79"/>
    </row>
    <row r="628" spans="8:9" s="78" customFormat="1" ht="15.5" hidden="1">
      <c r="H628" s="79"/>
      <c r="I628" s="79"/>
    </row>
    <row r="629" spans="8:9" s="78" customFormat="1" ht="15.5" hidden="1">
      <c r="H629" s="79"/>
      <c r="I629" s="79"/>
    </row>
    <row r="630" spans="8:9" s="78" customFormat="1" ht="15.5" hidden="1">
      <c r="H630" s="79"/>
      <c r="I630" s="79"/>
    </row>
    <row r="631" spans="8:9" s="78" customFormat="1" ht="15.5" hidden="1">
      <c r="H631" s="79"/>
      <c r="I631" s="79"/>
    </row>
    <row r="632" spans="8:9" s="78" customFormat="1" ht="15.5" hidden="1">
      <c r="H632" s="79"/>
      <c r="I632" s="79"/>
    </row>
    <row r="633" spans="8:9" s="78" customFormat="1" ht="15.5" hidden="1">
      <c r="H633" s="79"/>
      <c r="I633" s="79"/>
    </row>
    <row r="634" spans="8:9" s="78" customFormat="1" ht="15.5" hidden="1">
      <c r="H634" s="79"/>
      <c r="I634" s="79"/>
    </row>
    <row r="635" spans="8:9" s="78" customFormat="1" ht="15.5" hidden="1">
      <c r="H635" s="79"/>
      <c r="I635" s="79"/>
    </row>
    <row r="636" spans="8:9" s="78" customFormat="1" ht="15.5" hidden="1">
      <c r="H636" s="79"/>
      <c r="I636" s="79"/>
    </row>
    <row r="637" spans="8:9" s="78" customFormat="1" ht="15.5" hidden="1">
      <c r="H637" s="79"/>
      <c r="I637" s="79"/>
    </row>
    <row r="638" spans="8:9" s="78" customFormat="1" ht="15.5" hidden="1">
      <c r="H638" s="79"/>
      <c r="I638" s="79"/>
    </row>
    <row r="639" spans="8:9" s="78" customFormat="1" ht="15.5" hidden="1">
      <c r="H639" s="79"/>
      <c r="I639" s="79"/>
    </row>
    <row r="640" spans="8:9" s="78" customFormat="1" ht="15.5" hidden="1">
      <c r="H640" s="79"/>
      <c r="I640" s="79"/>
    </row>
    <row r="641" spans="8:9" s="78" customFormat="1" ht="15.5" hidden="1">
      <c r="H641" s="79"/>
      <c r="I641" s="79"/>
    </row>
    <row r="642" spans="8:9" s="78" customFormat="1" ht="15.5" hidden="1">
      <c r="H642" s="79"/>
      <c r="I642" s="79"/>
    </row>
    <row r="643" spans="8:9" s="78" customFormat="1" ht="15.5" hidden="1">
      <c r="H643" s="79"/>
      <c r="I643" s="79"/>
    </row>
    <row r="644" spans="8:9" s="78" customFormat="1" ht="15.5" hidden="1">
      <c r="H644" s="79"/>
      <c r="I644" s="79"/>
    </row>
    <row r="645" spans="8:9" s="78" customFormat="1" ht="15.5" hidden="1">
      <c r="H645" s="79"/>
      <c r="I645" s="79"/>
    </row>
    <row r="646" spans="8:9" s="78" customFormat="1" ht="15.5" hidden="1">
      <c r="H646" s="79"/>
      <c r="I646" s="79"/>
    </row>
    <row r="647" spans="8:9" s="78" customFormat="1" ht="15.5" hidden="1">
      <c r="H647" s="79"/>
      <c r="I647" s="79"/>
    </row>
    <row r="648" spans="8:9" s="78" customFormat="1" ht="15.5" hidden="1">
      <c r="H648" s="79"/>
      <c r="I648" s="79"/>
    </row>
    <row r="649" spans="8:9" s="78" customFormat="1" ht="15.5" hidden="1">
      <c r="H649" s="79"/>
      <c r="I649" s="79"/>
    </row>
    <row r="650" spans="8:9" s="78" customFormat="1" ht="15.5" hidden="1">
      <c r="H650" s="79"/>
      <c r="I650" s="79"/>
    </row>
    <row r="651" spans="8:9" s="78" customFormat="1" ht="15.5" hidden="1">
      <c r="H651" s="79"/>
      <c r="I651" s="79"/>
    </row>
    <row r="652" spans="8:9" s="78" customFormat="1" ht="15.5" hidden="1">
      <c r="H652" s="79"/>
      <c r="I652" s="79"/>
    </row>
    <row r="653" spans="8:9" s="78" customFormat="1" ht="15.5" hidden="1">
      <c r="H653" s="79"/>
      <c r="I653" s="79"/>
    </row>
    <row r="654" spans="8:9" s="78" customFormat="1" ht="15.5" hidden="1">
      <c r="H654" s="79"/>
      <c r="I654" s="79"/>
    </row>
    <row r="655" spans="8:9" s="78" customFormat="1" ht="15.5" hidden="1">
      <c r="H655" s="79"/>
      <c r="I655" s="79"/>
    </row>
    <row r="656" spans="8:9" s="78" customFormat="1" ht="15.5" hidden="1">
      <c r="H656" s="79"/>
      <c r="I656" s="79"/>
    </row>
    <row r="657" spans="8:9" s="78" customFormat="1" ht="15.5" hidden="1">
      <c r="H657" s="79"/>
      <c r="I657" s="79"/>
    </row>
    <row r="658" spans="8:9" s="78" customFormat="1" ht="15.5" hidden="1">
      <c r="H658" s="79"/>
      <c r="I658" s="79"/>
    </row>
    <row r="659" spans="8:9" s="78" customFormat="1" ht="15.5" hidden="1">
      <c r="H659" s="79"/>
      <c r="I659" s="79"/>
    </row>
    <row r="660" spans="8:9" s="78" customFormat="1" ht="15.5" hidden="1">
      <c r="H660" s="79"/>
      <c r="I660" s="79"/>
    </row>
    <row r="661" spans="8:9" s="78" customFormat="1" ht="15.5" hidden="1">
      <c r="H661" s="79"/>
      <c r="I661" s="79"/>
    </row>
    <row r="662" spans="8:9" s="78" customFormat="1" ht="15.5" hidden="1">
      <c r="H662" s="79"/>
      <c r="I662" s="79"/>
    </row>
    <row r="663" spans="8:9" s="78" customFormat="1" ht="15.5" hidden="1">
      <c r="H663" s="79"/>
      <c r="I663" s="79"/>
    </row>
    <row r="664" spans="8:9" s="78" customFormat="1" ht="15.5" hidden="1">
      <c r="H664" s="79"/>
      <c r="I664" s="79"/>
    </row>
    <row r="665" spans="8:9" s="78" customFormat="1" ht="15.5" hidden="1">
      <c r="H665" s="79"/>
      <c r="I665" s="79"/>
    </row>
    <row r="666" spans="8:9" s="78" customFormat="1" ht="15.5" hidden="1">
      <c r="H666" s="79"/>
      <c r="I666" s="79"/>
    </row>
    <row r="667" spans="8:9" s="78" customFormat="1" ht="15.5" hidden="1">
      <c r="H667" s="79"/>
      <c r="I667" s="79"/>
    </row>
    <row r="668" spans="8:9" s="78" customFormat="1" ht="15.5" hidden="1">
      <c r="H668" s="79"/>
      <c r="I668" s="79"/>
    </row>
    <row r="669" spans="8:9" s="78" customFormat="1" ht="15.5" hidden="1">
      <c r="H669" s="79"/>
      <c r="I669" s="79"/>
    </row>
    <row r="670" spans="8:9" s="78" customFormat="1" ht="15.5" hidden="1">
      <c r="H670" s="79"/>
      <c r="I670" s="79"/>
    </row>
    <row r="671" spans="8:9" s="78" customFormat="1" ht="15.5" hidden="1">
      <c r="H671" s="79"/>
      <c r="I671" s="79"/>
    </row>
    <row r="672" spans="8:9" s="78" customFormat="1" ht="15.5" hidden="1">
      <c r="H672" s="79"/>
      <c r="I672" s="79"/>
    </row>
    <row r="673" spans="8:9" s="78" customFormat="1" ht="15.5" hidden="1">
      <c r="H673" s="79"/>
      <c r="I673" s="79"/>
    </row>
    <row r="674" spans="8:9" s="78" customFormat="1" ht="15.5" hidden="1">
      <c r="H674" s="79"/>
      <c r="I674" s="79"/>
    </row>
    <row r="675" spans="8:9" s="78" customFormat="1" ht="15.5" hidden="1">
      <c r="H675" s="79"/>
      <c r="I675" s="79"/>
    </row>
    <row r="676" spans="8:9" s="78" customFormat="1" ht="15.5" hidden="1">
      <c r="H676" s="79"/>
      <c r="I676" s="79"/>
    </row>
    <row r="677" spans="8:9" s="78" customFormat="1" ht="15.5" hidden="1">
      <c r="H677" s="79"/>
      <c r="I677" s="79"/>
    </row>
    <row r="678" spans="8:9" s="78" customFormat="1" ht="15.5" hidden="1">
      <c r="H678" s="79"/>
      <c r="I678" s="79"/>
    </row>
    <row r="679" spans="8:9" s="78" customFormat="1" ht="15.5" hidden="1">
      <c r="H679" s="79"/>
      <c r="I679" s="79"/>
    </row>
    <row r="680" spans="8:9" s="78" customFormat="1" ht="15.5" hidden="1">
      <c r="H680" s="79"/>
      <c r="I680" s="79"/>
    </row>
    <row r="681" spans="8:9" s="78" customFormat="1" ht="15.5" hidden="1">
      <c r="H681" s="79"/>
      <c r="I681" s="79"/>
    </row>
    <row r="682" spans="8:9" s="78" customFormat="1" ht="15.5" hidden="1">
      <c r="H682" s="79"/>
      <c r="I682" s="79"/>
    </row>
    <row r="683" spans="8:9" s="78" customFormat="1" ht="15.5" hidden="1">
      <c r="H683" s="79"/>
      <c r="I683" s="79"/>
    </row>
    <row r="684" spans="8:9" s="78" customFormat="1" ht="15.5" hidden="1">
      <c r="H684" s="79"/>
      <c r="I684" s="79"/>
    </row>
    <row r="685" spans="8:9" s="78" customFormat="1" ht="15.5" hidden="1">
      <c r="H685" s="79"/>
      <c r="I685" s="79"/>
    </row>
    <row r="686" spans="8:9" s="78" customFormat="1" ht="15.5" hidden="1">
      <c r="H686" s="79"/>
      <c r="I686" s="79"/>
    </row>
    <row r="687" spans="8:9" s="78" customFormat="1" ht="15.5" hidden="1">
      <c r="H687" s="79"/>
      <c r="I687" s="79"/>
    </row>
    <row r="688" spans="8:9" s="78" customFormat="1" ht="15.5" hidden="1">
      <c r="H688" s="79"/>
      <c r="I688" s="79"/>
    </row>
    <row r="689" spans="8:9" s="78" customFormat="1" ht="15.5" hidden="1">
      <c r="H689" s="79"/>
      <c r="I689" s="79"/>
    </row>
    <row r="690" spans="8:9" s="78" customFormat="1" ht="15.5" hidden="1">
      <c r="H690" s="79"/>
      <c r="I690" s="79"/>
    </row>
    <row r="691" spans="8:9" s="78" customFormat="1" ht="15.5" hidden="1">
      <c r="H691" s="79"/>
      <c r="I691" s="79"/>
    </row>
    <row r="692" spans="8:9" s="78" customFormat="1" ht="15.5" hidden="1">
      <c r="H692" s="79"/>
      <c r="I692" s="79"/>
    </row>
    <row r="693" spans="8:9" s="78" customFormat="1" ht="15.5" hidden="1">
      <c r="H693" s="79"/>
      <c r="I693" s="79"/>
    </row>
    <row r="694" spans="8:9" s="78" customFormat="1" ht="15.5" hidden="1">
      <c r="H694" s="79"/>
      <c r="I694" s="79"/>
    </row>
    <row r="695" spans="8:9" s="78" customFormat="1" ht="15.5" hidden="1">
      <c r="H695" s="79"/>
      <c r="I695" s="79"/>
    </row>
    <row r="696" spans="8:9" s="78" customFormat="1" ht="15.5" hidden="1">
      <c r="H696" s="79"/>
      <c r="I696" s="79"/>
    </row>
    <row r="697" spans="8:9" s="78" customFormat="1" ht="15.5" hidden="1">
      <c r="H697" s="79"/>
      <c r="I697" s="79"/>
    </row>
    <row r="698" spans="8:9" s="78" customFormat="1" ht="15.5" hidden="1">
      <c r="H698" s="79"/>
      <c r="I698" s="79"/>
    </row>
    <row r="699" spans="8:9" s="78" customFormat="1" ht="15.5" hidden="1">
      <c r="H699" s="79"/>
      <c r="I699" s="79"/>
    </row>
    <row r="700" spans="8:9" s="78" customFormat="1" ht="15.5" hidden="1">
      <c r="H700" s="79"/>
      <c r="I700" s="79"/>
    </row>
    <row r="701" spans="8:9" s="78" customFormat="1" ht="15.5" hidden="1">
      <c r="H701" s="79"/>
      <c r="I701" s="79"/>
    </row>
    <row r="702" spans="8:9" s="78" customFormat="1" ht="15.5" hidden="1">
      <c r="H702" s="79"/>
      <c r="I702" s="79"/>
    </row>
    <row r="703" spans="8:9" s="78" customFormat="1" ht="15.5" hidden="1">
      <c r="H703" s="79"/>
      <c r="I703" s="79"/>
    </row>
    <row r="704" spans="8:9" s="78" customFormat="1" ht="15.5" hidden="1">
      <c r="H704" s="79"/>
      <c r="I704" s="79"/>
    </row>
    <row r="705" spans="8:9" s="78" customFormat="1" ht="15.5" hidden="1">
      <c r="H705" s="79"/>
      <c r="I705" s="79"/>
    </row>
    <row r="706" spans="8:9" s="78" customFormat="1" ht="15.5" hidden="1">
      <c r="H706" s="79"/>
      <c r="I706" s="79"/>
    </row>
    <row r="707" spans="8:9" s="78" customFormat="1" ht="15.5" hidden="1">
      <c r="H707" s="79"/>
      <c r="I707" s="79"/>
    </row>
    <row r="708" spans="8:9" s="78" customFormat="1" ht="15.5" hidden="1">
      <c r="H708" s="79"/>
      <c r="I708" s="79"/>
    </row>
    <row r="709" spans="8:9" s="78" customFormat="1" ht="15.5" hidden="1">
      <c r="H709" s="79"/>
      <c r="I709" s="79"/>
    </row>
    <row r="710" spans="8:9" s="78" customFormat="1" ht="15.5" hidden="1">
      <c r="H710" s="79"/>
      <c r="I710" s="79"/>
    </row>
    <row r="711" spans="8:9" s="78" customFormat="1" ht="15.5" hidden="1">
      <c r="H711" s="79"/>
      <c r="I711" s="79"/>
    </row>
    <row r="712" spans="8:9" s="78" customFormat="1" ht="15.5" hidden="1">
      <c r="H712" s="79"/>
      <c r="I712" s="79"/>
    </row>
    <row r="713" spans="8:9" s="78" customFormat="1" ht="15.5" hidden="1">
      <c r="H713" s="79"/>
      <c r="I713" s="79"/>
    </row>
    <row r="714" spans="8:9" s="78" customFormat="1" ht="15.5" hidden="1">
      <c r="H714" s="79"/>
      <c r="I714" s="79"/>
    </row>
    <row r="715" spans="8:9" s="78" customFormat="1" ht="15.5" hidden="1">
      <c r="H715" s="79"/>
      <c r="I715" s="79"/>
    </row>
    <row r="716" spans="8:9" s="78" customFormat="1" ht="15.5" hidden="1">
      <c r="H716" s="79"/>
      <c r="I716" s="79"/>
    </row>
    <row r="717" spans="8:9" s="78" customFormat="1" ht="15.5" hidden="1">
      <c r="H717" s="79"/>
      <c r="I717" s="79"/>
    </row>
    <row r="718" spans="8:9" s="78" customFormat="1" ht="15.5" hidden="1">
      <c r="H718" s="79"/>
      <c r="I718" s="79"/>
    </row>
    <row r="719" spans="8:9" s="78" customFormat="1" ht="15.5" hidden="1">
      <c r="H719" s="79"/>
      <c r="I719" s="79"/>
    </row>
    <row r="720" spans="8:9" s="78" customFormat="1" ht="15.5" hidden="1">
      <c r="H720" s="79"/>
      <c r="I720" s="79"/>
    </row>
    <row r="721" spans="8:9" s="78" customFormat="1" ht="15.5" hidden="1">
      <c r="H721" s="79"/>
      <c r="I721" s="79"/>
    </row>
    <row r="722" spans="8:9" s="78" customFormat="1" ht="15.5" hidden="1">
      <c r="H722" s="79"/>
      <c r="I722" s="79"/>
    </row>
    <row r="723" spans="8:9" s="78" customFormat="1" ht="15.5" hidden="1">
      <c r="H723" s="79"/>
      <c r="I723" s="79"/>
    </row>
    <row r="724" spans="8:9" s="78" customFormat="1" ht="15.5" hidden="1">
      <c r="H724" s="79"/>
      <c r="I724" s="79"/>
    </row>
    <row r="725" spans="8:9" s="78" customFormat="1" ht="15.5" hidden="1">
      <c r="H725" s="79"/>
      <c r="I725" s="79"/>
    </row>
    <row r="726" spans="8:9" s="78" customFormat="1" ht="15.5" hidden="1">
      <c r="H726" s="79"/>
      <c r="I726" s="79"/>
    </row>
    <row r="727" spans="8:9" s="78" customFormat="1" ht="15.5" hidden="1">
      <c r="H727" s="79"/>
      <c r="I727" s="79"/>
    </row>
    <row r="728" spans="8:9" s="78" customFormat="1" ht="15.5" hidden="1">
      <c r="H728" s="79"/>
      <c r="I728" s="79"/>
    </row>
    <row r="729" spans="8:9" s="78" customFormat="1" ht="15.5" hidden="1">
      <c r="H729" s="79"/>
      <c r="I729" s="79"/>
    </row>
    <row r="730" spans="8:9" s="78" customFormat="1" ht="15.5" hidden="1">
      <c r="H730" s="79"/>
      <c r="I730" s="79"/>
    </row>
    <row r="731" spans="8:9" s="78" customFormat="1" ht="15.5" hidden="1">
      <c r="H731" s="79"/>
      <c r="I731" s="79"/>
    </row>
    <row r="732" spans="8:9" s="78" customFormat="1" ht="15.5" hidden="1">
      <c r="H732" s="79"/>
      <c r="I732" s="79"/>
    </row>
    <row r="733" spans="8:9" s="78" customFormat="1" ht="15.5" hidden="1">
      <c r="H733" s="79"/>
      <c r="I733" s="79"/>
    </row>
    <row r="734" spans="8:9" s="78" customFormat="1" ht="15.5" hidden="1">
      <c r="H734" s="79"/>
      <c r="I734" s="79"/>
    </row>
    <row r="735" spans="8:9" s="78" customFormat="1" ht="15.5" hidden="1">
      <c r="H735" s="79"/>
      <c r="I735" s="79"/>
    </row>
    <row r="736" spans="8:9" s="78" customFormat="1" ht="15.5" hidden="1">
      <c r="H736" s="79"/>
      <c r="I736" s="79"/>
    </row>
    <row r="737" spans="8:9" s="78" customFormat="1" ht="15.5" hidden="1">
      <c r="H737" s="79"/>
      <c r="I737" s="79"/>
    </row>
    <row r="738" spans="8:9" s="78" customFormat="1" ht="15.5" hidden="1">
      <c r="H738" s="79"/>
      <c r="I738" s="79"/>
    </row>
    <row r="739" spans="8:9" s="78" customFormat="1" ht="15.5" hidden="1">
      <c r="H739" s="79"/>
      <c r="I739" s="79"/>
    </row>
    <row r="740" spans="8:9" s="78" customFormat="1" ht="15.5" hidden="1">
      <c r="H740" s="79"/>
      <c r="I740" s="79"/>
    </row>
    <row r="741" spans="8:9" s="78" customFormat="1" ht="15.5" hidden="1">
      <c r="H741" s="79"/>
      <c r="I741" s="79"/>
    </row>
    <row r="742" spans="8:9" s="78" customFormat="1" ht="15.5" hidden="1">
      <c r="H742" s="79"/>
      <c r="I742" s="79"/>
    </row>
    <row r="743" spans="8:9" s="78" customFormat="1" ht="15.5" hidden="1">
      <c r="H743" s="79"/>
      <c r="I743" s="79"/>
    </row>
    <row r="744" spans="8:9" s="78" customFormat="1" ht="15.5" hidden="1">
      <c r="H744" s="79"/>
      <c r="I744" s="79"/>
    </row>
    <row r="745" spans="8:9" s="78" customFormat="1" ht="15.5" hidden="1">
      <c r="H745" s="79"/>
      <c r="I745" s="79"/>
    </row>
    <row r="746" spans="8:9" s="78" customFormat="1" ht="15.5" hidden="1">
      <c r="H746" s="79"/>
      <c r="I746" s="79"/>
    </row>
    <row r="747" spans="8:9" s="78" customFormat="1" ht="15.5" hidden="1">
      <c r="H747" s="79"/>
      <c r="I747" s="79"/>
    </row>
    <row r="748" spans="8:9" s="78" customFormat="1" ht="15.5" hidden="1">
      <c r="H748" s="79"/>
      <c r="I748" s="79"/>
    </row>
    <row r="749" spans="8:9" s="78" customFormat="1" ht="15.5" hidden="1">
      <c r="H749" s="79"/>
      <c r="I749" s="79"/>
    </row>
    <row r="750" spans="8:9" s="78" customFormat="1" ht="15.5" hidden="1">
      <c r="H750" s="79"/>
      <c r="I750" s="79"/>
    </row>
    <row r="751" spans="8:9" s="78" customFormat="1" ht="15.5" hidden="1">
      <c r="H751" s="79"/>
      <c r="I751" s="79"/>
    </row>
    <row r="752" spans="8:9" s="78" customFormat="1" ht="15.5" hidden="1">
      <c r="H752" s="79"/>
      <c r="I752" s="79"/>
    </row>
    <row r="753" spans="8:9" s="78" customFormat="1" ht="15.5" hidden="1">
      <c r="H753" s="79"/>
      <c r="I753" s="79"/>
    </row>
    <row r="754" spans="8:9" s="78" customFormat="1" ht="15.5" hidden="1">
      <c r="H754" s="79"/>
      <c r="I754" s="79"/>
    </row>
    <row r="755" spans="8:9" s="78" customFormat="1" ht="15.5" hidden="1">
      <c r="H755" s="79"/>
      <c r="I755" s="79"/>
    </row>
    <row r="756" spans="8:9" s="78" customFormat="1" ht="15.5" hidden="1">
      <c r="H756" s="79"/>
      <c r="I756" s="79"/>
    </row>
    <row r="757" spans="8:9" s="78" customFormat="1" ht="15.5" hidden="1">
      <c r="H757" s="79"/>
      <c r="I757" s="79"/>
    </row>
    <row r="758" spans="8:9" s="78" customFormat="1" ht="15.5" hidden="1">
      <c r="H758" s="79"/>
      <c r="I758" s="79"/>
    </row>
    <row r="759" spans="8:9" s="78" customFormat="1" ht="15.5" hidden="1">
      <c r="H759" s="79"/>
      <c r="I759" s="79"/>
    </row>
    <row r="760" spans="8:9" s="78" customFormat="1" ht="15.5" hidden="1">
      <c r="H760" s="79"/>
      <c r="I760" s="79"/>
    </row>
    <row r="761" spans="8:9" s="78" customFormat="1" ht="15.5" hidden="1">
      <c r="H761" s="79"/>
      <c r="I761" s="79"/>
    </row>
    <row r="762" spans="8:9" s="78" customFormat="1" ht="15.5" hidden="1">
      <c r="H762" s="79"/>
      <c r="I762" s="79"/>
    </row>
    <row r="763" spans="8:9" s="78" customFormat="1" ht="15.5" hidden="1">
      <c r="H763" s="79"/>
      <c r="I763" s="79"/>
    </row>
    <row r="764" spans="8:9" s="78" customFormat="1" ht="15.5" hidden="1">
      <c r="H764" s="79"/>
      <c r="I764" s="79"/>
    </row>
    <row r="765" spans="8:9" s="78" customFormat="1" ht="15.5" hidden="1">
      <c r="H765" s="79"/>
      <c r="I765" s="79"/>
    </row>
    <row r="766" spans="8:9" s="78" customFormat="1" ht="15.5" hidden="1">
      <c r="H766" s="79"/>
      <c r="I766" s="79"/>
    </row>
    <row r="767" spans="8:9" s="78" customFormat="1" ht="15.5" hidden="1">
      <c r="H767" s="79"/>
      <c r="I767" s="79"/>
    </row>
    <row r="768" spans="8:9" s="78" customFormat="1" ht="15.5" hidden="1">
      <c r="H768" s="79"/>
      <c r="I768" s="79"/>
    </row>
    <row r="769" spans="8:9" s="78" customFormat="1" ht="15.5" hidden="1">
      <c r="H769" s="79"/>
      <c r="I769" s="79"/>
    </row>
    <row r="770" spans="8:9" s="78" customFormat="1" ht="15.5" hidden="1">
      <c r="H770" s="79"/>
      <c r="I770" s="79"/>
    </row>
    <row r="771" spans="8:9" s="78" customFormat="1" ht="15.5" hidden="1">
      <c r="H771" s="79"/>
      <c r="I771" s="79"/>
    </row>
    <row r="772" spans="8:9" s="78" customFormat="1" ht="15.5" hidden="1">
      <c r="H772" s="79"/>
      <c r="I772" s="79"/>
    </row>
    <row r="773" spans="8:9" s="78" customFormat="1" ht="15.5" hidden="1">
      <c r="H773" s="79"/>
      <c r="I773" s="79"/>
    </row>
    <row r="774" spans="8:9" s="78" customFormat="1" ht="15.5" hidden="1">
      <c r="H774" s="79"/>
      <c r="I774" s="79"/>
    </row>
    <row r="775" spans="8:9" s="78" customFormat="1" ht="15.5" hidden="1">
      <c r="H775" s="79"/>
      <c r="I775" s="79"/>
    </row>
    <row r="776" spans="8:9" s="78" customFormat="1" ht="15.5" hidden="1">
      <c r="H776" s="79"/>
      <c r="I776" s="79"/>
    </row>
    <row r="777" spans="8:9" s="78" customFormat="1" ht="15.5" hidden="1">
      <c r="H777" s="79"/>
      <c r="I777" s="79"/>
    </row>
    <row r="778" spans="8:9" s="78" customFormat="1" ht="15.5" hidden="1">
      <c r="H778" s="79"/>
      <c r="I778" s="79"/>
    </row>
    <row r="779" spans="8:9" s="78" customFormat="1" ht="15.5" hidden="1">
      <c r="H779" s="79"/>
      <c r="I779" s="79"/>
    </row>
    <row r="780" spans="8:9" s="78" customFormat="1" ht="15.5" hidden="1">
      <c r="H780" s="79"/>
      <c r="I780" s="79"/>
    </row>
    <row r="781" spans="8:9" s="78" customFormat="1" ht="15.5" hidden="1">
      <c r="H781" s="79"/>
      <c r="I781" s="79"/>
    </row>
    <row r="782" spans="8:9" s="78" customFormat="1" ht="15.5" hidden="1">
      <c r="H782" s="79"/>
      <c r="I782" s="79"/>
    </row>
    <row r="783" spans="8:9" s="78" customFormat="1" ht="15.5" hidden="1">
      <c r="H783" s="79"/>
      <c r="I783" s="79"/>
    </row>
    <row r="784" spans="8:9" s="78" customFormat="1" ht="15.5" hidden="1">
      <c r="H784" s="79"/>
      <c r="I784" s="79"/>
    </row>
    <row r="785" spans="8:9" s="78" customFormat="1" ht="15.5" hidden="1">
      <c r="H785" s="79"/>
      <c r="I785" s="79"/>
    </row>
    <row r="786" spans="8:9" s="78" customFormat="1" ht="15.5" hidden="1">
      <c r="H786" s="79"/>
      <c r="I786" s="79"/>
    </row>
    <row r="787" spans="8:9" s="78" customFormat="1" ht="15.5" hidden="1">
      <c r="H787" s="79"/>
      <c r="I787" s="79"/>
    </row>
    <row r="788" spans="8:9" s="78" customFormat="1" ht="15.5" hidden="1">
      <c r="H788" s="79"/>
      <c r="I788" s="79"/>
    </row>
    <row r="789" spans="8:9" s="78" customFormat="1" ht="15.5" hidden="1">
      <c r="H789" s="79"/>
      <c r="I789" s="79"/>
    </row>
    <row r="790" spans="8:9" s="78" customFormat="1" ht="15.5" hidden="1">
      <c r="H790" s="79"/>
      <c r="I790" s="79"/>
    </row>
    <row r="791" spans="8:9" s="78" customFormat="1" ht="15.5" hidden="1">
      <c r="H791" s="79"/>
      <c r="I791" s="79"/>
    </row>
    <row r="792" spans="8:9" s="78" customFormat="1" ht="15.5" hidden="1">
      <c r="H792" s="79"/>
      <c r="I792" s="79"/>
    </row>
    <row r="793" spans="8:9" s="78" customFormat="1" ht="15.5" hidden="1">
      <c r="H793" s="79"/>
      <c r="I793" s="79"/>
    </row>
    <row r="794" spans="8:9" s="78" customFormat="1" ht="15.5" hidden="1">
      <c r="H794" s="79"/>
      <c r="I794" s="79"/>
    </row>
    <row r="795" spans="8:9" s="78" customFormat="1" ht="15.5" hidden="1">
      <c r="H795" s="79"/>
      <c r="I795" s="79"/>
    </row>
    <row r="796" spans="8:9" s="78" customFormat="1" ht="15.5" hidden="1">
      <c r="H796" s="79"/>
      <c r="I796" s="79"/>
    </row>
    <row r="797" spans="8:9" s="78" customFormat="1" ht="15.5" hidden="1">
      <c r="H797" s="79"/>
      <c r="I797" s="79"/>
    </row>
    <row r="798" spans="8:9" s="78" customFormat="1" ht="15.5" hidden="1">
      <c r="H798" s="79"/>
      <c r="I798" s="79"/>
    </row>
    <row r="799" spans="8:9" s="78" customFormat="1" ht="15.5" hidden="1">
      <c r="H799" s="79"/>
      <c r="I799" s="79"/>
    </row>
    <row r="800" spans="8:9" s="78" customFormat="1" ht="15.5" hidden="1">
      <c r="H800" s="79"/>
      <c r="I800" s="79"/>
    </row>
    <row r="801" spans="8:9" s="78" customFormat="1" ht="15.5" hidden="1">
      <c r="H801" s="79"/>
      <c r="I801" s="79"/>
    </row>
    <row r="802" spans="8:9" s="78" customFormat="1" ht="15.5" hidden="1">
      <c r="H802" s="79"/>
      <c r="I802" s="79"/>
    </row>
    <row r="803" spans="8:9" s="78" customFormat="1" ht="15.5" hidden="1">
      <c r="H803" s="79"/>
      <c r="I803" s="79"/>
    </row>
    <row r="804" spans="8:9" s="78" customFormat="1" ht="15.5" hidden="1">
      <c r="H804" s="79"/>
      <c r="I804" s="79"/>
    </row>
    <row r="805" spans="8:9" s="78" customFormat="1" ht="15.5" hidden="1">
      <c r="H805" s="79"/>
      <c r="I805" s="79"/>
    </row>
    <row r="806" spans="8:9" s="78" customFormat="1" ht="15.5" hidden="1">
      <c r="H806" s="79"/>
      <c r="I806" s="79"/>
    </row>
    <row r="807" spans="8:9" s="78" customFormat="1" ht="15.5" hidden="1">
      <c r="H807" s="79"/>
      <c r="I807" s="79"/>
    </row>
    <row r="808" spans="8:9" s="78" customFormat="1" ht="15.5" hidden="1">
      <c r="H808" s="79"/>
      <c r="I808" s="79"/>
    </row>
    <row r="809" spans="8:9" s="78" customFormat="1" ht="15.5" hidden="1">
      <c r="H809" s="79"/>
      <c r="I809" s="79"/>
    </row>
    <row r="810" spans="8:9" s="78" customFormat="1" ht="15.5" hidden="1">
      <c r="H810" s="79"/>
      <c r="I810" s="79"/>
    </row>
    <row r="811" spans="8:9" s="78" customFormat="1" ht="15.5" hidden="1">
      <c r="H811" s="79"/>
      <c r="I811" s="79"/>
    </row>
    <row r="812" spans="8:9" s="78" customFormat="1" ht="15.5" hidden="1">
      <c r="H812" s="79"/>
      <c r="I812" s="79"/>
    </row>
    <row r="813" spans="8:9" s="78" customFormat="1" ht="15.5" hidden="1">
      <c r="H813" s="79"/>
      <c r="I813" s="79"/>
    </row>
    <row r="814" spans="8:9" s="78" customFormat="1" ht="15.5" hidden="1">
      <c r="H814" s="79"/>
      <c r="I814" s="79"/>
    </row>
    <row r="815" spans="8:9" s="78" customFormat="1" ht="15.5" hidden="1">
      <c r="H815" s="79"/>
      <c r="I815" s="79"/>
    </row>
    <row r="816" spans="8:9" s="78" customFormat="1" ht="15.5" hidden="1">
      <c r="H816" s="79"/>
      <c r="I816" s="79"/>
    </row>
    <row r="817" spans="8:9" s="78" customFormat="1" ht="15.5" hidden="1">
      <c r="H817" s="79"/>
      <c r="I817" s="79"/>
    </row>
    <row r="818" spans="8:9" s="78" customFormat="1" ht="15.5" hidden="1">
      <c r="H818" s="79"/>
      <c r="I818" s="79"/>
    </row>
    <row r="819" spans="8:9" s="78" customFormat="1" ht="15.5" hidden="1">
      <c r="H819" s="79"/>
      <c r="I819" s="79"/>
    </row>
    <row r="820" spans="8:9" s="78" customFormat="1" ht="15.5" hidden="1">
      <c r="H820" s="79"/>
      <c r="I820" s="79"/>
    </row>
    <row r="821" spans="8:9" s="78" customFormat="1" ht="15.5" hidden="1">
      <c r="H821" s="79"/>
      <c r="I821" s="79"/>
    </row>
    <row r="822" spans="8:9" s="78" customFormat="1" ht="15.5" hidden="1">
      <c r="H822" s="79"/>
      <c r="I822" s="79"/>
    </row>
    <row r="823" spans="8:9" s="78" customFormat="1" ht="15.5" hidden="1">
      <c r="H823" s="79"/>
      <c r="I823" s="79"/>
    </row>
    <row r="824" spans="8:9" s="78" customFormat="1" ht="15.5" hidden="1">
      <c r="H824" s="79"/>
      <c r="I824" s="79"/>
    </row>
    <row r="825" spans="8:9" s="78" customFormat="1" ht="15.5" hidden="1">
      <c r="H825" s="79"/>
      <c r="I825" s="79"/>
    </row>
    <row r="826" spans="8:9" s="78" customFormat="1" ht="15.5" hidden="1">
      <c r="H826" s="79"/>
      <c r="I826" s="79"/>
    </row>
    <row r="827" spans="8:9" s="78" customFormat="1" ht="15.5" hidden="1">
      <c r="H827" s="79"/>
      <c r="I827" s="79"/>
    </row>
    <row r="828" spans="8:9" s="78" customFormat="1" ht="15.5" hidden="1">
      <c r="H828" s="79"/>
      <c r="I828" s="79"/>
    </row>
    <row r="829" spans="8:9" s="78" customFormat="1" ht="15.5" hidden="1">
      <c r="H829" s="79"/>
      <c r="I829" s="79"/>
    </row>
    <row r="830" spans="8:9" s="78" customFormat="1" ht="15.5" hidden="1">
      <c r="H830" s="79"/>
      <c r="I830" s="79"/>
    </row>
    <row r="831" spans="8:9" s="78" customFormat="1" ht="15.5" hidden="1">
      <c r="H831" s="79"/>
      <c r="I831" s="79"/>
    </row>
    <row r="832" spans="8:9" s="78" customFormat="1" ht="15.5" hidden="1">
      <c r="H832" s="79"/>
      <c r="I832" s="79"/>
    </row>
    <row r="833" spans="8:9" s="78" customFormat="1" ht="15.5" hidden="1">
      <c r="H833" s="79"/>
      <c r="I833" s="79"/>
    </row>
    <row r="834" spans="8:9" s="78" customFormat="1" ht="15.5" hidden="1">
      <c r="H834" s="79"/>
      <c r="I834" s="79"/>
    </row>
    <row r="835" spans="8:9" s="78" customFormat="1" ht="15.5" hidden="1">
      <c r="H835" s="79"/>
      <c r="I835" s="79"/>
    </row>
    <row r="836" spans="8:9" s="78" customFormat="1" ht="15.5" hidden="1">
      <c r="H836" s="79"/>
      <c r="I836" s="79"/>
    </row>
    <row r="837" spans="8:9" s="78" customFormat="1" ht="15.5" hidden="1">
      <c r="H837" s="79"/>
      <c r="I837" s="79"/>
    </row>
    <row r="838" spans="8:9" s="78" customFormat="1" ht="15.5" hidden="1">
      <c r="H838" s="79"/>
      <c r="I838" s="79"/>
    </row>
    <row r="839" spans="8:9" s="78" customFormat="1" ht="15.5" hidden="1">
      <c r="H839" s="79"/>
      <c r="I839" s="79"/>
    </row>
    <row r="840" spans="8:9" s="78" customFormat="1" ht="15.5" hidden="1">
      <c r="H840" s="79"/>
      <c r="I840" s="79"/>
    </row>
    <row r="841" spans="8:9" s="78" customFormat="1" ht="15.5" hidden="1">
      <c r="H841" s="79"/>
      <c r="I841" s="79"/>
    </row>
    <row r="842" spans="8:9" s="78" customFormat="1" ht="15.5" hidden="1">
      <c r="H842" s="79"/>
      <c r="I842" s="79"/>
    </row>
    <row r="843" spans="8:9" s="78" customFormat="1" ht="15.5" hidden="1">
      <c r="H843" s="79"/>
      <c r="I843" s="79"/>
    </row>
    <row r="844" spans="8:9" s="78" customFormat="1" ht="15.5" hidden="1">
      <c r="H844" s="79"/>
      <c r="I844" s="79"/>
    </row>
    <row r="845" spans="8:9" s="78" customFormat="1" ht="15.5" hidden="1">
      <c r="H845" s="79"/>
      <c r="I845" s="79"/>
    </row>
    <row r="846" spans="8:9" s="78" customFormat="1" ht="15.5" hidden="1">
      <c r="H846" s="79"/>
      <c r="I846" s="79"/>
    </row>
    <row r="847" spans="8:9" s="78" customFormat="1" ht="15.5" hidden="1">
      <c r="H847" s="79"/>
      <c r="I847" s="79"/>
    </row>
    <row r="848" spans="8:9" s="78" customFormat="1" ht="15.5" hidden="1">
      <c r="H848" s="79"/>
      <c r="I848" s="79"/>
    </row>
    <row r="849" spans="8:9" s="78" customFormat="1" ht="15.5" hidden="1">
      <c r="H849" s="79"/>
      <c r="I849" s="79"/>
    </row>
    <row r="850" spans="8:9" s="78" customFormat="1" ht="15.5" hidden="1">
      <c r="H850" s="79"/>
      <c r="I850" s="79"/>
    </row>
    <row r="851" spans="8:9" s="78" customFormat="1" ht="15.5" hidden="1">
      <c r="H851" s="79"/>
      <c r="I851" s="79"/>
    </row>
    <row r="852" spans="8:9" s="78" customFormat="1" ht="15.5" hidden="1">
      <c r="H852" s="79"/>
      <c r="I852" s="79"/>
    </row>
    <row r="853" spans="8:9" s="78" customFormat="1" ht="15.5" hidden="1">
      <c r="H853" s="79"/>
      <c r="I853" s="79"/>
    </row>
    <row r="854" spans="8:9" s="78" customFormat="1" ht="15.5" hidden="1">
      <c r="H854" s="79"/>
      <c r="I854" s="79"/>
    </row>
    <row r="855" spans="8:9" s="78" customFormat="1" ht="15.5" hidden="1">
      <c r="H855" s="79"/>
      <c r="I855" s="79"/>
    </row>
    <row r="856" spans="8:9" s="78" customFormat="1" ht="15.5" hidden="1">
      <c r="H856" s="79"/>
      <c r="I856" s="79"/>
    </row>
    <row r="857" spans="8:9" s="78" customFormat="1" ht="15.5" hidden="1">
      <c r="H857" s="79"/>
      <c r="I857" s="79"/>
    </row>
    <row r="858" spans="8:9" s="78" customFormat="1" ht="15.5" hidden="1">
      <c r="H858" s="79"/>
      <c r="I858" s="79"/>
    </row>
    <row r="859" spans="8:9" s="78" customFormat="1" ht="15.5" hidden="1">
      <c r="H859" s="79"/>
      <c r="I859" s="79"/>
    </row>
    <row r="860" spans="8:9" s="78" customFormat="1" ht="15.5" hidden="1">
      <c r="H860" s="79"/>
      <c r="I860" s="79"/>
    </row>
    <row r="861" spans="8:9" s="78" customFormat="1" ht="15.5" hidden="1">
      <c r="H861" s="79"/>
      <c r="I861" s="79"/>
    </row>
    <row r="862" spans="8:9" s="78" customFormat="1" ht="15.5" hidden="1">
      <c r="H862" s="79"/>
      <c r="I862" s="79"/>
    </row>
    <row r="863" spans="8:9" s="78" customFormat="1" ht="15.5" hidden="1">
      <c r="H863" s="79"/>
      <c r="I863" s="79"/>
    </row>
    <row r="864" spans="8:9" s="78" customFormat="1" ht="15.5" hidden="1">
      <c r="H864" s="79"/>
      <c r="I864" s="79"/>
    </row>
    <row r="865" spans="8:9" s="78" customFormat="1" ht="15.5" hidden="1">
      <c r="H865" s="79"/>
      <c r="I865" s="79"/>
    </row>
    <row r="866" spans="8:9" s="78" customFormat="1" ht="15.5" hidden="1">
      <c r="H866" s="79"/>
      <c r="I866" s="79"/>
    </row>
    <row r="867" spans="8:9" s="78" customFormat="1" ht="15.5" hidden="1">
      <c r="H867" s="79"/>
      <c r="I867" s="79"/>
    </row>
    <row r="868" spans="8:9" s="78" customFormat="1" ht="15.5" hidden="1">
      <c r="H868" s="79"/>
      <c r="I868" s="79"/>
    </row>
    <row r="869" spans="8:9" s="78" customFormat="1" ht="15.5" hidden="1">
      <c r="H869" s="79"/>
      <c r="I869" s="79"/>
    </row>
    <row r="870" spans="8:9" s="78" customFormat="1" ht="15.5" hidden="1">
      <c r="H870" s="79"/>
      <c r="I870" s="79"/>
    </row>
    <row r="871" spans="8:9" s="78" customFormat="1" ht="15.5" hidden="1">
      <c r="H871" s="79"/>
      <c r="I871" s="79"/>
    </row>
    <row r="872" spans="8:9" s="78" customFormat="1" ht="15.5" hidden="1">
      <c r="H872" s="79"/>
      <c r="I872" s="79"/>
    </row>
    <row r="873" spans="8:9" s="78" customFormat="1" ht="15.5" hidden="1">
      <c r="H873" s="79"/>
      <c r="I873" s="79"/>
    </row>
    <row r="874" spans="8:9" s="78" customFormat="1" ht="15.5" hidden="1">
      <c r="H874" s="79"/>
      <c r="I874" s="79"/>
    </row>
    <row r="875" spans="8:9" s="78" customFormat="1" ht="15.5" hidden="1">
      <c r="H875" s="79"/>
      <c r="I875" s="79"/>
    </row>
    <row r="876" spans="8:9" s="78" customFormat="1" ht="15.5" hidden="1">
      <c r="H876" s="79"/>
      <c r="I876" s="79"/>
    </row>
    <row r="877" spans="8:9" s="78" customFormat="1" ht="15.5" hidden="1">
      <c r="H877" s="79"/>
      <c r="I877" s="79"/>
    </row>
    <row r="878" spans="8:9" s="78" customFormat="1" ht="15.5" hidden="1">
      <c r="H878" s="79"/>
      <c r="I878" s="79"/>
    </row>
    <row r="879" spans="8:9" s="78" customFormat="1" ht="15.5" hidden="1">
      <c r="H879" s="79"/>
      <c r="I879" s="79"/>
    </row>
    <row r="880" spans="8:9" s="78" customFormat="1" ht="15.5" hidden="1">
      <c r="H880" s="79"/>
      <c r="I880" s="79"/>
    </row>
    <row r="881" spans="8:9" s="78" customFormat="1" ht="15.5" hidden="1">
      <c r="H881" s="79"/>
      <c r="I881" s="79"/>
    </row>
    <row r="882" spans="8:9" s="78" customFormat="1" ht="15.5" hidden="1">
      <c r="H882" s="79"/>
      <c r="I882" s="79"/>
    </row>
    <row r="883" spans="8:9" s="78" customFormat="1" ht="15.5" hidden="1">
      <c r="H883" s="79"/>
      <c r="I883" s="79"/>
    </row>
    <row r="884" spans="8:9" s="78" customFormat="1" ht="15.5" hidden="1">
      <c r="H884" s="79"/>
      <c r="I884" s="79"/>
    </row>
    <row r="885" spans="8:9" s="78" customFormat="1" ht="15.5" hidden="1">
      <c r="H885" s="79"/>
      <c r="I885" s="79"/>
    </row>
    <row r="886" spans="8:9" s="78" customFormat="1" ht="15.5" hidden="1">
      <c r="H886" s="79"/>
      <c r="I886" s="79"/>
    </row>
    <row r="887" spans="8:9" s="78" customFormat="1" ht="15.5" hidden="1">
      <c r="H887" s="79"/>
      <c r="I887" s="79"/>
    </row>
    <row r="888" spans="8:9" s="78" customFormat="1" ht="15.5" hidden="1">
      <c r="H888" s="79"/>
      <c r="I888" s="79"/>
    </row>
    <row r="889" spans="8:9" s="78" customFormat="1" ht="15.5" hidden="1">
      <c r="H889" s="79"/>
      <c r="I889" s="79"/>
    </row>
    <row r="890" spans="8:9" s="78" customFormat="1" ht="15.5" hidden="1">
      <c r="H890" s="79"/>
      <c r="I890" s="79"/>
    </row>
    <row r="891" spans="8:9" s="78" customFormat="1" ht="15.5" hidden="1">
      <c r="H891" s="79"/>
      <c r="I891" s="79"/>
    </row>
    <row r="892" spans="8:9" s="78" customFormat="1" ht="15.5" hidden="1">
      <c r="H892" s="79"/>
      <c r="I892" s="79"/>
    </row>
    <row r="893" spans="8:9" s="78" customFormat="1" ht="15.5" hidden="1">
      <c r="H893" s="79"/>
      <c r="I893" s="79"/>
    </row>
    <row r="894" spans="8:9" s="78" customFormat="1" ht="15.5" hidden="1">
      <c r="H894" s="79"/>
      <c r="I894" s="79"/>
    </row>
    <row r="895" spans="8:9" s="78" customFormat="1" ht="15.5" hidden="1">
      <c r="H895" s="79"/>
      <c r="I895" s="79"/>
    </row>
    <row r="896" spans="8:9" s="78" customFormat="1" ht="15.5" hidden="1">
      <c r="H896" s="79"/>
      <c r="I896" s="79"/>
    </row>
    <row r="897" spans="8:9" s="78" customFormat="1" ht="15.5" hidden="1">
      <c r="H897" s="79"/>
      <c r="I897" s="79"/>
    </row>
    <row r="898" spans="8:9" s="78" customFormat="1" ht="15.5" hidden="1">
      <c r="H898" s="79"/>
      <c r="I898" s="79"/>
    </row>
    <row r="899" spans="8:9" s="78" customFormat="1" ht="15.5" hidden="1">
      <c r="H899" s="79"/>
      <c r="I899" s="79"/>
    </row>
    <row r="900" spans="8:9" s="78" customFormat="1" ht="15.5" hidden="1">
      <c r="H900" s="79"/>
      <c r="I900" s="79"/>
    </row>
    <row r="901" spans="8:9" s="78" customFormat="1" ht="15.5" hidden="1">
      <c r="H901" s="79"/>
      <c r="I901" s="79"/>
    </row>
    <row r="902" spans="8:9" s="78" customFormat="1" ht="15.5" hidden="1">
      <c r="H902" s="79"/>
      <c r="I902" s="79"/>
    </row>
    <row r="903" spans="8:9" s="78" customFormat="1" ht="15.5" hidden="1">
      <c r="H903" s="79"/>
      <c r="I903" s="79"/>
    </row>
    <row r="904" spans="8:9" s="78" customFormat="1" ht="15.5" hidden="1">
      <c r="H904" s="79"/>
      <c r="I904" s="79"/>
    </row>
    <row r="905" spans="8:9" s="78" customFormat="1" ht="15.5" hidden="1">
      <c r="H905" s="79"/>
      <c r="I905" s="79"/>
    </row>
    <row r="906" spans="8:9" s="78" customFormat="1" ht="15.5" hidden="1">
      <c r="H906" s="79"/>
      <c r="I906" s="79"/>
    </row>
    <row r="907" spans="8:9" s="78" customFormat="1" ht="15.5" hidden="1">
      <c r="H907" s="79"/>
      <c r="I907" s="79"/>
    </row>
    <row r="908" spans="8:9" s="78" customFormat="1" ht="15.5" hidden="1">
      <c r="H908" s="79"/>
      <c r="I908" s="79"/>
    </row>
    <row r="909" spans="8:9" s="78" customFormat="1" ht="15.5" hidden="1">
      <c r="H909" s="79"/>
      <c r="I909" s="79"/>
    </row>
    <row r="910" spans="8:9" s="78" customFormat="1" ht="15.5" hidden="1">
      <c r="H910" s="79"/>
      <c r="I910" s="79"/>
    </row>
    <row r="911" spans="8:9" s="78" customFormat="1" ht="15.5" hidden="1">
      <c r="H911" s="79"/>
      <c r="I911" s="79"/>
    </row>
    <row r="912" spans="8:9" s="78" customFormat="1" ht="15.5" hidden="1">
      <c r="H912" s="79"/>
      <c r="I912" s="79"/>
    </row>
    <row r="913" spans="8:9" s="78" customFormat="1" ht="15.5" hidden="1">
      <c r="H913" s="79"/>
      <c r="I913" s="79"/>
    </row>
    <row r="914" spans="8:9" s="78" customFormat="1" ht="15.5" hidden="1">
      <c r="H914" s="79"/>
      <c r="I914" s="79"/>
    </row>
    <row r="915" spans="8:9" s="78" customFormat="1" ht="15.5" hidden="1">
      <c r="H915" s="79"/>
      <c r="I915" s="79"/>
    </row>
    <row r="916" spans="8:9" s="78" customFormat="1" ht="15.5" hidden="1">
      <c r="H916" s="79"/>
      <c r="I916" s="79"/>
    </row>
    <row r="917" spans="8:9" s="78" customFormat="1" ht="15.5" hidden="1">
      <c r="H917" s="79"/>
      <c r="I917" s="79"/>
    </row>
    <row r="918" spans="8:9" s="78" customFormat="1" ht="15.5" hidden="1">
      <c r="H918" s="79"/>
      <c r="I918" s="79"/>
    </row>
    <row r="919" spans="8:9" s="78" customFormat="1" ht="15.5" hidden="1">
      <c r="H919" s="79"/>
      <c r="I919" s="79"/>
    </row>
    <row r="920" spans="8:9" s="78" customFormat="1" ht="15.5" hidden="1">
      <c r="H920" s="79"/>
      <c r="I920" s="79"/>
    </row>
    <row r="921" spans="8:9" s="78" customFormat="1" ht="15.5" hidden="1">
      <c r="H921" s="79"/>
      <c r="I921" s="79"/>
    </row>
    <row r="922" spans="8:9" s="78" customFormat="1" ht="15.5" hidden="1">
      <c r="H922" s="79"/>
      <c r="I922" s="79"/>
    </row>
    <row r="923" spans="8:9" s="78" customFormat="1" ht="15.5" hidden="1">
      <c r="H923" s="79"/>
      <c r="I923" s="79"/>
    </row>
    <row r="924" spans="8:9" s="78" customFormat="1" ht="15.5" hidden="1">
      <c r="H924" s="79"/>
      <c r="I924" s="79"/>
    </row>
    <row r="925" spans="8:9" s="78" customFormat="1" ht="15.5" hidden="1">
      <c r="H925" s="79"/>
      <c r="I925" s="79"/>
    </row>
    <row r="926" spans="8:9" s="78" customFormat="1" ht="15.5" hidden="1">
      <c r="H926" s="79"/>
      <c r="I926" s="79"/>
    </row>
    <row r="927" spans="8:9" s="78" customFormat="1" ht="15.5" hidden="1">
      <c r="H927" s="79"/>
      <c r="I927" s="79"/>
    </row>
    <row r="928" spans="8:9" s="78" customFormat="1" ht="15.5" hidden="1">
      <c r="H928" s="79"/>
      <c r="I928" s="79"/>
    </row>
    <row r="929" spans="8:9" s="78" customFormat="1" ht="15.5" hidden="1">
      <c r="H929" s="79"/>
      <c r="I929" s="79"/>
    </row>
    <row r="930" spans="8:9" s="78" customFormat="1" ht="15.5" hidden="1">
      <c r="H930" s="79"/>
      <c r="I930" s="79"/>
    </row>
    <row r="931" spans="8:9" s="78" customFormat="1" ht="15.5" hidden="1">
      <c r="H931" s="79"/>
      <c r="I931" s="79"/>
    </row>
    <row r="932" spans="8:9" s="78" customFormat="1" ht="15.5" hidden="1">
      <c r="H932" s="79"/>
      <c r="I932" s="79"/>
    </row>
    <row r="933" spans="8:9" s="78" customFormat="1" ht="15.5" hidden="1">
      <c r="H933" s="79"/>
      <c r="I933" s="79"/>
    </row>
    <row r="934" spans="8:9" s="78" customFormat="1" ht="15.5" hidden="1">
      <c r="H934" s="79"/>
      <c r="I934" s="79"/>
    </row>
    <row r="935" spans="8:9" s="78" customFormat="1" ht="15.5" hidden="1">
      <c r="H935" s="79"/>
      <c r="I935" s="79"/>
    </row>
    <row r="936" spans="8:9" s="78" customFormat="1" ht="15.5" hidden="1">
      <c r="H936" s="79"/>
      <c r="I936" s="79"/>
    </row>
    <row r="937" spans="8:9" s="78" customFormat="1" ht="15.5" hidden="1">
      <c r="H937" s="79"/>
      <c r="I937" s="79"/>
    </row>
    <row r="938" spans="8:9" s="78" customFormat="1" ht="15.5" hidden="1">
      <c r="H938" s="79"/>
      <c r="I938" s="79"/>
    </row>
    <row r="939" spans="8:9" s="78" customFormat="1" ht="15.5" hidden="1">
      <c r="H939" s="79"/>
      <c r="I939" s="79"/>
    </row>
    <row r="940" spans="8:9" s="78" customFormat="1" ht="15.5" hidden="1">
      <c r="H940" s="79"/>
      <c r="I940" s="79"/>
    </row>
    <row r="941" spans="8:9" s="78" customFormat="1" ht="15.5" hidden="1">
      <c r="H941" s="79"/>
      <c r="I941" s="79"/>
    </row>
    <row r="942" spans="8:9" s="78" customFormat="1" ht="15.5" hidden="1">
      <c r="H942" s="79"/>
      <c r="I942" s="79"/>
    </row>
    <row r="943" spans="8:9" s="78" customFormat="1" ht="15.5" hidden="1">
      <c r="H943" s="79"/>
      <c r="I943" s="79"/>
    </row>
    <row r="944" spans="8:9" s="78" customFormat="1" ht="15.5" hidden="1">
      <c r="H944" s="79"/>
      <c r="I944" s="79"/>
    </row>
    <row r="945" spans="8:9" s="78" customFormat="1" ht="15.5" hidden="1">
      <c r="H945" s="79"/>
      <c r="I945" s="79"/>
    </row>
    <row r="946" spans="8:9" s="78" customFormat="1" ht="15.5" hidden="1">
      <c r="H946" s="79"/>
      <c r="I946" s="79"/>
    </row>
    <row r="947" spans="8:9" s="78" customFormat="1" ht="15.5" hidden="1">
      <c r="H947" s="79"/>
      <c r="I947" s="79"/>
    </row>
    <row r="948" spans="8:9" s="78" customFormat="1" ht="15.5" hidden="1">
      <c r="H948" s="79"/>
      <c r="I948" s="79"/>
    </row>
    <row r="949" spans="8:9" s="78" customFormat="1" ht="15.5" hidden="1">
      <c r="H949" s="79"/>
      <c r="I949" s="79"/>
    </row>
    <row r="950" spans="8:9" s="78" customFormat="1" ht="15.5" hidden="1">
      <c r="H950" s="79"/>
      <c r="I950" s="79"/>
    </row>
    <row r="951" spans="8:9" s="78" customFormat="1" ht="15.5" hidden="1">
      <c r="H951" s="79"/>
      <c r="I951" s="79"/>
    </row>
    <row r="952" spans="8:9" s="78" customFormat="1" ht="15.5" hidden="1">
      <c r="H952" s="79"/>
      <c r="I952" s="79"/>
    </row>
    <row r="953" spans="8:9" s="78" customFormat="1" ht="15.5" hidden="1">
      <c r="H953" s="79"/>
      <c r="I953" s="79"/>
    </row>
    <row r="954" spans="8:9" s="78" customFormat="1" ht="15.5" hidden="1">
      <c r="H954" s="79"/>
      <c r="I954" s="79"/>
    </row>
    <row r="955" spans="8:9" s="78" customFormat="1" ht="15.5" hidden="1">
      <c r="H955" s="79"/>
      <c r="I955" s="79"/>
    </row>
    <row r="956" spans="8:9" s="78" customFormat="1" ht="15.5" hidden="1">
      <c r="H956" s="79"/>
      <c r="I956" s="79"/>
    </row>
    <row r="957" spans="8:9" s="78" customFormat="1" ht="15.5" hidden="1">
      <c r="H957" s="79"/>
      <c r="I957" s="79"/>
    </row>
    <row r="958" spans="8:9" s="78" customFormat="1" ht="15.5" hidden="1">
      <c r="H958" s="79"/>
      <c r="I958" s="79"/>
    </row>
    <row r="959" spans="8:9" s="78" customFormat="1" ht="15.5" hidden="1">
      <c r="H959" s="79"/>
      <c r="I959" s="79"/>
    </row>
    <row r="960" spans="8:9" s="78" customFormat="1" ht="15.5" hidden="1">
      <c r="H960" s="79"/>
      <c r="I960" s="79"/>
    </row>
    <row r="961" spans="8:9" s="78" customFormat="1" ht="15.5" hidden="1">
      <c r="H961" s="79"/>
      <c r="I961" s="79"/>
    </row>
    <row r="962" spans="8:9" s="78" customFormat="1" ht="15.5" hidden="1">
      <c r="H962" s="79"/>
      <c r="I962" s="79"/>
    </row>
    <row r="963" spans="8:9" s="78" customFormat="1" ht="15.5" hidden="1">
      <c r="H963" s="79"/>
      <c r="I963" s="79"/>
    </row>
    <row r="964" spans="8:9" s="78" customFormat="1" ht="15.5" hidden="1">
      <c r="H964" s="79"/>
      <c r="I964" s="79"/>
    </row>
    <row r="965" spans="8:9" s="78" customFormat="1" ht="15.5" hidden="1">
      <c r="H965" s="79"/>
      <c r="I965" s="79"/>
    </row>
    <row r="966" spans="8:9" s="78" customFormat="1" ht="15.5" hidden="1">
      <c r="H966" s="79"/>
      <c r="I966" s="79"/>
    </row>
    <row r="967" spans="8:9" s="78" customFormat="1" ht="15.5" hidden="1">
      <c r="H967" s="79"/>
      <c r="I967" s="79"/>
    </row>
    <row r="968" spans="8:9" s="78" customFormat="1" ht="15.5" hidden="1">
      <c r="H968" s="79"/>
      <c r="I968" s="79"/>
    </row>
    <row r="969" spans="8:9" s="78" customFormat="1" ht="15.5" hidden="1">
      <c r="H969" s="79"/>
      <c r="I969" s="79"/>
    </row>
    <row r="970" spans="8:9" s="78" customFormat="1" ht="15.5" hidden="1">
      <c r="H970" s="79"/>
      <c r="I970" s="79"/>
    </row>
    <row r="971" spans="8:9" s="78" customFormat="1" ht="15.5" hidden="1">
      <c r="H971" s="79"/>
      <c r="I971" s="79"/>
    </row>
    <row r="972" spans="8:9" s="78" customFormat="1" ht="15.5" hidden="1">
      <c r="H972" s="79"/>
      <c r="I972" s="79"/>
    </row>
    <row r="973" spans="8:9" s="78" customFormat="1" ht="15.5" hidden="1">
      <c r="H973" s="79"/>
      <c r="I973" s="79"/>
    </row>
    <row r="974" spans="8:9" s="78" customFormat="1" ht="15.5" hidden="1">
      <c r="H974" s="79"/>
      <c r="I974" s="79"/>
    </row>
    <row r="975" spans="8:9" s="78" customFormat="1" ht="15.5" hidden="1">
      <c r="H975" s="79"/>
      <c r="I975" s="79"/>
    </row>
    <row r="976" spans="8:9" s="78" customFormat="1" ht="15.5" hidden="1">
      <c r="H976" s="79"/>
      <c r="I976" s="79"/>
    </row>
    <row r="977" spans="8:9" s="78" customFormat="1" ht="15.5" hidden="1">
      <c r="H977" s="79"/>
      <c r="I977" s="79"/>
    </row>
    <row r="978" spans="8:9" s="78" customFormat="1" ht="15.5" hidden="1">
      <c r="H978" s="79"/>
      <c r="I978" s="79"/>
    </row>
    <row r="979" spans="8:9" s="78" customFormat="1" ht="15.5" hidden="1">
      <c r="H979" s="79"/>
      <c r="I979" s="79"/>
    </row>
    <row r="980" spans="8:9" s="78" customFormat="1" ht="15.5" hidden="1">
      <c r="H980" s="79"/>
      <c r="I980" s="79"/>
    </row>
    <row r="981" spans="8:9" s="78" customFormat="1" ht="15.5" hidden="1">
      <c r="H981" s="79"/>
      <c r="I981" s="79"/>
    </row>
    <row r="982" spans="8:9" s="78" customFormat="1" ht="15.5" hidden="1">
      <c r="H982" s="79"/>
      <c r="I982" s="79"/>
    </row>
    <row r="983" spans="8:9" s="78" customFormat="1" ht="15.5" hidden="1">
      <c r="H983" s="79"/>
      <c r="I983" s="79"/>
    </row>
    <row r="984" spans="8:9" s="78" customFormat="1" ht="15.5" hidden="1">
      <c r="H984" s="79"/>
      <c r="I984" s="79"/>
    </row>
    <row r="985" spans="8:9" s="78" customFormat="1" ht="15.5" hidden="1">
      <c r="H985" s="79"/>
      <c r="I985" s="79"/>
    </row>
    <row r="986" spans="8:9" s="78" customFormat="1" ht="15.5" hidden="1">
      <c r="H986" s="79"/>
      <c r="I986" s="79"/>
    </row>
    <row r="987" spans="8:9" s="78" customFormat="1" ht="15.5" hidden="1">
      <c r="H987" s="79"/>
      <c r="I987" s="79"/>
    </row>
    <row r="988" spans="8:9" s="78" customFormat="1" ht="15.5" hidden="1">
      <c r="H988" s="79"/>
      <c r="I988" s="79"/>
    </row>
    <row r="989" spans="8:9" s="78" customFormat="1" ht="15.5" hidden="1">
      <c r="H989" s="79"/>
      <c r="I989" s="79"/>
    </row>
    <row r="990" spans="8:9" s="78" customFormat="1" ht="15.5" hidden="1">
      <c r="H990" s="79"/>
      <c r="I990" s="79"/>
    </row>
    <row r="991" spans="8:9" s="78" customFormat="1" ht="15.5" hidden="1">
      <c r="H991" s="79"/>
      <c r="I991" s="79"/>
    </row>
    <row r="992" spans="8:9" s="78" customFormat="1" ht="15.5" hidden="1">
      <c r="H992" s="79"/>
      <c r="I992" s="79"/>
    </row>
    <row r="993" spans="8:9" s="78" customFormat="1" ht="15.5" hidden="1">
      <c r="H993" s="79"/>
      <c r="I993" s="79"/>
    </row>
    <row r="994" spans="8:9" s="78" customFormat="1" ht="15.5" hidden="1">
      <c r="H994" s="79"/>
      <c r="I994" s="79"/>
    </row>
    <row r="995" spans="8:9" s="78" customFormat="1" ht="15.5" hidden="1">
      <c r="H995" s="79"/>
      <c r="I995" s="79"/>
    </row>
    <row r="996" spans="8:9" s="78" customFormat="1" ht="15.5" hidden="1">
      <c r="H996" s="79"/>
      <c r="I996" s="79"/>
    </row>
    <row r="997" spans="8:9" s="78" customFormat="1" ht="15.5" hidden="1">
      <c r="H997" s="79"/>
      <c r="I997" s="79"/>
    </row>
    <row r="998" spans="8:9" s="78" customFormat="1" ht="15.5" hidden="1">
      <c r="H998" s="79"/>
      <c r="I998" s="79"/>
    </row>
    <row r="999" spans="8:9" s="78" customFormat="1" ht="15.5" hidden="1">
      <c r="H999" s="79"/>
      <c r="I999" s="79"/>
    </row>
    <row r="1000" spans="8:9" s="78" customFormat="1" ht="15.5" hidden="1">
      <c r="H1000" s="79"/>
      <c r="I1000" s="79"/>
    </row>
    <row r="1001" spans="8:9" s="78" customFormat="1" ht="15.5" hidden="1">
      <c r="H1001" s="79"/>
      <c r="I1001" s="79"/>
    </row>
    <row r="1002" spans="8:9" s="78" customFormat="1" ht="15.5" hidden="1">
      <c r="H1002" s="79"/>
      <c r="I1002" s="79"/>
    </row>
    <row r="1003" spans="8:9" s="78" customFormat="1" ht="15.5" hidden="1">
      <c r="H1003" s="79"/>
      <c r="I1003" s="79"/>
    </row>
    <row r="1004" spans="8:9" s="78" customFormat="1" ht="15.5" hidden="1">
      <c r="H1004" s="79"/>
      <c r="I1004" s="79"/>
    </row>
    <row r="1005" spans="8:9" s="78" customFormat="1" ht="15.5" hidden="1">
      <c r="H1005" s="79"/>
      <c r="I1005" s="79"/>
    </row>
    <row r="1006" spans="8:9" s="78" customFormat="1" ht="15.5" hidden="1">
      <c r="H1006" s="79"/>
      <c r="I1006" s="79"/>
    </row>
    <row r="1007" spans="8:9" s="78" customFormat="1" ht="15.5" hidden="1">
      <c r="H1007" s="79"/>
      <c r="I1007" s="79"/>
    </row>
    <row r="1008" spans="8:9" s="78" customFormat="1" ht="15.5" hidden="1">
      <c r="H1008" s="79"/>
      <c r="I1008" s="79"/>
    </row>
    <row r="1009" spans="8:9" s="78" customFormat="1" ht="15.5" hidden="1">
      <c r="H1009" s="79"/>
      <c r="I1009" s="79"/>
    </row>
    <row r="1010" spans="8:9" s="78" customFormat="1" ht="15.5" hidden="1">
      <c r="H1010" s="79"/>
      <c r="I1010" s="79"/>
    </row>
    <row r="1011" spans="8:9" s="78" customFormat="1" ht="15.5" hidden="1">
      <c r="H1011" s="79"/>
      <c r="I1011" s="79"/>
    </row>
    <row r="1012" spans="8:9" s="78" customFormat="1" ht="15.5" hidden="1">
      <c r="H1012" s="79"/>
      <c r="I1012" s="79"/>
    </row>
    <row r="1013" spans="8:9" s="78" customFormat="1" ht="15.5" hidden="1">
      <c r="H1013" s="79"/>
      <c r="I1013" s="79"/>
    </row>
    <row r="1014" spans="8:9" s="78" customFormat="1" ht="15.5" hidden="1">
      <c r="H1014" s="79"/>
      <c r="I1014" s="79"/>
    </row>
    <row r="1015" spans="8:9" s="78" customFormat="1" ht="15.5" hidden="1">
      <c r="H1015" s="79"/>
      <c r="I1015" s="79"/>
    </row>
    <row r="1016" spans="8:9" s="78" customFormat="1" ht="15.5" hidden="1">
      <c r="H1016" s="79"/>
      <c r="I1016" s="79"/>
    </row>
    <row r="1017" spans="8:9" s="78" customFormat="1" ht="15.5" hidden="1">
      <c r="H1017" s="79"/>
      <c r="I1017" s="79"/>
    </row>
    <row r="1018" spans="8:9" s="78" customFormat="1" ht="15.5" hidden="1">
      <c r="H1018" s="79"/>
      <c r="I1018" s="79"/>
    </row>
    <row r="1019" spans="8:9" s="78" customFormat="1" ht="15.5" hidden="1">
      <c r="H1019" s="79"/>
      <c r="I1019" s="79"/>
    </row>
    <row r="1020" spans="8:9" s="78" customFormat="1" ht="15.5" hidden="1">
      <c r="H1020" s="79"/>
      <c r="I1020" s="79"/>
    </row>
    <row r="1021" spans="8:9" s="78" customFormat="1" ht="15.5" hidden="1">
      <c r="H1021" s="79"/>
      <c r="I1021" s="79"/>
    </row>
    <row r="1022" spans="8:9" s="78" customFormat="1" ht="15.5" hidden="1">
      <c r="H1022" s="79"/>
      <c r="I1022" s="79"/>
    </row>
    <row r="1023" spans="8:9" s="78" customFormat="1" ht="15.5" hidden="1">
      <c r="H1023" s="79"/>
      <c r="I1023" s="79"/>
    </row>
    <row r="1024" spans="8:9" s="78" customFormat="1" ht="15.5" hidden="1">
      <c r="H1024" s="79"/>
      <c r="I1024" s="79"/>
    </row>
    <row r="1025" spans="8:9" s="78" customFormat="1" ht="15.5" hidden="1">
      <c r="H1025" s="79"/>
      <c r="I1025" s="79"/>
    </row>
    <row r="1026" spans="8:9" s="78" customFormat="1" ht="15.5" hidden="1">
      <c r="H1026" s="79"/>
      <c r="I1026" s="79"/>
    </row>
    <row r="1027" spans="8:9" s="78" customFormat="1" ht="15.5" hidden="1">
      <c r="H1027" s="79"/>
      <c r="I1027" s="79"/>
    </row>
    <row r="1028" spans="8:9" s="78" customFormat="1" ht="15.5" hidden="1">
      <c r="H1028" s="79"/>
      <c r="I1028" s="79"/>
    </row>
    <row r="1029" spans="8:9" s="78" customFormat="1" ht="15.5" hidden="1">
      <c r="H1029" s="79"/>
      <c r="I1029" s="79"/>
    </row>
    <row r="1030" spans="8:9" s="78" customFormat="1" ht="15.5" hidden="1">
      <c r="H1030" s="79"/>
      <c r="I1030" s="79"/>
    </row>
    <row r="1031" spans="8:9" s="78" customFormat="1" ht="15.5" hidden="1">
      <c r="H1031" s="79"/>
      <c r="I1031" s="79"/>
    </row>
    <row r="1032" spans="8:9" s="78" customFormat="1" ht="15.5" hidden="1">
      <c r="H1032" s="79"/>
      <c r="I1032" s="79"/>
    </row>
    <row r="1033" spans="8:9" s="78" customFormat="1" ht="15.5" hidden="1">
      <c r="H1033" s="79"/>
      <c r="I1033" s="79"/>
    </row>
    <row r="1034" spans="8:9" s="78" customFormat="1" ht="15.5" hidden="1">
      <c r="H1034" s="79"/>
      <c r="I1034" s="79"/>
    </row>
    <row r="1035" spans="8:9" s="78" customFormat="1" ht="15.5" hidden="1">
      <c r="H1035" s="79"/>
      <c r="I1035" s="79"/>
    </row>
    <row r="1036" spans="8:9" s="78" customFormat="1" ht="15.5" hidden="1">
      <c r="H1036" s="79"/>
      <c r="I1036" s="79"/>
    </row>
    <row r="1037" spans="8:9" s="78" customFormat="1" ht="15.5" hidden="1">
      <c r="H1037" s="79"/>
      <c r="I1037" s="79"/>
    </row>
    <row r="1038" spans="8:9" s="78" customFormat="1" ht="15.5" hidden="1">
      <c r="H1038" s="79"/>
      <c r="I1038" s="79"/>
    </row>
    <row r="1039" spans="8:9" s="78" customFormat="1" ht="15.5" hidden="1">
      <c r="H1039" s="79"/>
      <c r="I1039" s="79"/>
    </row>
    <row r="1040" spans="8:9" s="78" customFormat="1" ht="15.5" hidden="1">
      <c r="H1040" s="79"/>
      <c r="I1040" s="79"/>
    </row>
    <row r="1041" spans="8:9" s="78" customFormat="1" ht="15.5" hidden="1">
      <c r="H1041" s="79"/>
      <c r="I1041" s="79"/>
    </row>
    <row r="1042" spans="8:9" s="78" customFormat="1" ht="15.5" hidden="1">
      <c r="H1042" s="79"/>
      <c r="I1042" s="79"/>
    </row>
    <row r="1043" spans="8:9" s="78" customFormat="1" ht="15.5" hidden="1">
      <c r="H1043" s="79"/>
      <c r="I1043" s="79"/>
    </row>
    <row r="1044" spans="8:9" s="78" customFormat="1" ht="15.5" hidden="1">
      <c r="H1044" s="79"/>
      <c r="I1044" s="79"/>
    </row>
    <row r="1045" spans="8:9" s="78" customFormat="1" ht="15.5" hidden="1">
      <c r="H1045" s="79"/>
      <c r="I1045" s="79"/>
    </row>
    <row r="1046" spans="8:9" s="78" customFormat="1" ht="15.5" hidden="1">
      <c r="H1046" s="79"/>
      <c r="I1046" s="79"/>
    </row>
    <row r="1047" spans="8:9" s="78" customFormat="1" ht="15.5" hidden="1">
      <c r="H1047" s="79"/>
      <c r="I1047" s="79"/>
    </row>
    <row r="1048" spans="8:9" s="78" customFormat="1" ht="15.5" hidden="1">
      <c r="H1048" s="79"/>
      <c r="I1048" s="79"/>
    </row>
    <row r="1049" spans="8:9" s="78" customFormat="1" ht="15.5" hidden="1">
      <c r="H1049" s="79"/>
      <c r="I1049" s="79"/>
    </row>
    <row r="1050" spans="8:9" s="78" customFormat="1" ht="15.5" hidden="1">
      <c r="H1050" s="79"/>
      <c r="I1050" s="79"/>
    </row>
    <row r="1051" spans="8:9" s="78" customFormat="1" ht="15.5" hidden="1">
      <c r="H1051" s="79"/>
      <c r="I1051" s="79"/>
    </row>
    <row r="1052" spans="8:9" s="78" customFormat="1" ht="15.5" hidden="1">
      <c r="H1052" s="79"/>
      <c r="I1052" s="79"/>
    </row>
    <row r="1053" spans="8:9" s="78" customFormat="1" ht="15.5" hidden="1">
      <c r="H1053" s="79"/>
      <c r="I1053" s="79"/>
    </row>
    <row r="1054" spans="8:9" s="78" customFormat="1" ht="15.5" hidden="1">
      <c r="H1054" s="79"/>
      <c r="I1054" s="79"/>
    </row>
    <row r="1055" spans="8:9" s="78" customFormat="1" ht="15.5" hidden="1">
      <c r="H1055" s="79"/>
      <c r="I1055" s="79"/>
    </row>
    <row r="1056" spans="8:9" s="78" customFormat="1" ht="15.5" hidden="1">
      <c r="H1056" s="79"/>
      <c r="I1056" s="79"/>
    </row>
    <row r="1057" spans="8:9" s="78" customFormat="1" ht="15.5" hidden="1">
      <c r="H1057" s="79"/>
      <c r="I1057" s="79"/>
    </row>
    <row r="1058" spans="8:9" s="78" customFormat="1" ht="15.5" hidden="1">
      <c r="H1058" s="79"/>
      <c r="I1058" s="79"/>
    </row>
    <row r="1059" spans="8:9" s="78" customFormat="1" ht="15.5" hidden="1">
      <c r="H1059" s="79"/>
      <c r="I1059" s="79"/>
    </row>
    <row r="1060" spans="8:9" s="78" customFormat="1" ht="15.5" hidden="1">
      <c r="H1060" s="79"/>
      <c r="I1060" s="79"/>
    </row>
    <row r="1061" spans="8:9" s="78" customFormat="1" ht="15.5" hidden="1">
      <c r="H1061" s="79"/>
      <c r="I1061" s="79"/>
    </row>
    <row r="1062" spans="8:9" s="78" customFormat="1" ht="15.5" hidden="1">
      <c r="H1062" s="79"/>
      <c r="I1062" s="79"/>
    </row>
    <row r="1063" spans="8:9" s="78" customFormat="1" ht="15.5" hidden="1">
      <c r="H1063" s="79"/>
      <c r="I1063" s="79"/>
    </row>
    <row r="1064" spans="8:9" s="78" customFormat="1" ht="15.5" hidden="1">
      <c r="H1064" s="79"/>
      <c r="I1064" s="79"/>
    </row>
    <row r="1065" spans="8:9" s="78" customFormat="1" ht="15.5" hidden="1">
      <c r="H1065" s="79"/>
      <c r="I1065" s="79"/>
    </row>
    <row r="1066" spans="8:9" s="78" customFormat="1" ht="15.5" hidden="1">
      <c r="H1066" s="79"/>
      <c r="I1066" s="79"/>
    </row>
    <row r="1067" spans="8:9" s="78" customFormat="1" ht="15.5" hidden="1">
      <c r="H1067" s="79"/>
      <c r="I1067" s="79"/>
    </row>
    <row r="1068" spans="8:9" s="78" customFormat="1" ht="15.5" hidden="1">
      <c r="H1068" s="79"/>
      <c r="I1068" s="79"/>
    </row>
    <row r="1069" spans="8:9" s="78" customFormat="1" ht="15.5" hidden="1">
      <c r="H1069" s="79"/>
      <c r="I1069" s="79"/>
    </row>
    <row r="1070" spans="8:9" s="78" customFormat="1" ht="15.5" hidden="1">
      <c r="H1070" s="79"/>
      <c r="I1070" s="79"/>
    </row>
    <row r="1071" spans="8:9" s="78" customFormat="1" ht="15.5" hidden="1">
      <c r="H1071" s="79"/>
      <c r="I1071" s="79"/>
    </row>
    <row r="1072" spans="8:9" s="78" customFormat="1" ht="15.5" hidden="1">
      <c r="H1072" s="79"/>
      <c r="I1072" s="79"/>
    </row>
    <row r="1073" spans="8:9" s="78" customFormat="1" ht="15.5" hidden="1">
      <c r="H1073" s="79"/>
      <c r="I1073" s="79"/>
    </row>
    <row r="1074" spans="8:9" s="78" customFormat="1" ht="15.5" hidden="1">
      <c r="H1074" s="79"/>
      <c r="I1074" s="79"/>
    </row>
    <row r="1075" spans="8:9" s="78" customFormat="1" ht="15.5" hidden="1">
      <c r="H1075" s="79"/>
      <c r="I1075" s="79"/>
    </row>
    <row r="1076" spans="8:9" s="78" customFormat="1" ht="15.5" hidden="1">
      <c r="H1076" s="79"/>
      <c r="I1076" s="79"/>
    </row>
    <row r="1077" spans="8:9" s="78" customFormat="1" ht="15.5" hidden="1">
      <c r="H1077" s="79"/>
      <c r="I1077" s="79"/>
    </row>
    <row r="1078" spans="8:9" s="78" customFormat="1" ht="15.5" hidden="1">
      <c r="H1078" s="79"/>
      <c r="I1078" s="79"/>
    </row>
    <row r="1079" spans="8:9" s="78" customFormat="1" ht="15.5" hidden="1">
      <c r="H1079" s="79"/>
      <c r="I1079" s="79"/>
    </row>
    <row r="1080" spans="8:9" s="78" customFormat="1" ht="15.5" hidden="1">
      <c r="H1080" s="79"/>
      <c r="I1080" s="79"/>
    </row>
    <row r="1081" spans="8:9" s="78" customFormat="1" ht="15.5" hidden="1">
      <c r="H1081" s="79"/>
      <c r="I1081" s="79"/>
    </row>
    <row r="1082" spans="8:9" s="78" customFormat="1" ht="15.5" hidden="1">
      <c r="H1082" s="79"/>
      <c r="I1082" s="79"/>
    </row>
    <row r="1083" spans="8:9" s="78" customFormat="1" ht="15.5" hidden="1">
      <c r="H1083" s="79"/>
      <c r="I1083" s="79"/>
    </row>
    <row r="1084" spans="8:9" s="78" customFormat="1" ht="15.5" hidden="1">
      <c r="H1084" s="79"/>
      <c r="I1084" s="79"/>
    </row>
    <row r="1085" spans="8:9" s="78" customFormat="1" ht="15.5" hidden="1">
      <c r="H1085" s="79"/>
      <c r="I1085" s="79"/>
    </row>
    <row r="1086" spans="8:9" s="78" customFormat="1" ht="15.5" hidden="1">
      <c r="H1086" s="79"/>
      <c r="I1086" s="79"/>
    </row>
    <row r="1087" spans="8:9" s="78" customFormat="1" ht="15.5" hidden="1">
      <c r="H1087" s="79"/>
      <c r="I1087" s="79"/>
    </row>
    <row r="1088" spans="8:9" s="78" customFormat="1" ht="15.5" hidden="1">
      <c r="H1088" s="79"/>
      <c r="I1088" s="79"/>
    </row>
    <row r="1089" spans="8:9" s="78" customFormat="1" ht="15.5" hidden="1">
      <c r="H1089" s="79"/>
      <c r="I1089" s="79"/>
    </row>
    <row r="1090" spans="8:9" s="78" customFormat="1" ht="15.5" hidden="1">
      <c r="H1090" s="79"/>
      <c r="I1090" s="79"/>
    </row>
    <row r="1091" spans="8:9" s="78" customFormat="1" ht="15.5" hidden="1">
      <c r="H1091" s="79"/>
      <c r="I1091" s="79"/>
    </row>
    <row r="1092" spans="8:9" s="78" customFormat="1" ht="15.5" hidden="1">
      <c r="H1092" s="79"/>
      <c r="I1092" s="79"/>
    </row>
    <row r="1093" spans="8:9" s="78" customFormat="1" ht="15.5" hidden="1">
      <c r="H1093" s="79"/>
      <c r="I1093" s="79"/>
    </row>
    <row r="1094" spans="8:9" s="78" customFormat="1" ht="15.5" hidden="1">
      <c r="H1094" s="79"/>
      <c r="I1094" s="79"/>
    </row>
    <row r="1095" spans="8:9" s="78" customFormat="1" ht="15.5" hidden="1">
      <c r="H1095" s="79"/>
      <c r="I1095" s="79"/>
    </row>
    <row r="1096" spans="8:9" s="78" customFormat="1" ht="15.5" hidden="1">
      <c r="H1096" s="79"/>
      <c r="I1096" s="79"/>
    </row>
    <row r="1097" spans="8:9" s="78" customFormat="1" ht="15.5" hidden="1">
      <c r="H1097" s="79"/>
      <c r="I1097" s="79"/>
    </row>
    <row r="1098" spans="8:9" s="78" customFormat="1" ht="15.5" hidden="1">
      <c r="H1098" s="79"/>
      <c r="I1098" s="79"/>
    </row>
    <row r="1099" spans="8:9" s="78" customFormat="1" ht="15.5" hidden="1">
      <c r="H1099" s="79"/>
      <c r="I1099" s="79"/>
    </row>
    <row r="1100" spans="8:9" s="78" customFormat="1" ht="15.5" hidden="1">
      <c r="H1100" s="79"/>
      <c r="I1100" s="79"/>
    </row>
    <row r="1101" spans="8:9" s="78" customFormat="1" ht="15.5" hidden="1">
      <c r="H1101" s="79"/>
      <c r="I1101" s="79"/>
    </row>
    <row r="1102" spans="8:9" s="78" customFormat="1" ht="15.5" hidden="1">
      <c r="H1102" s="79"/>
      <c r="I1102" s="79"/>
    </row>
    <row r="1103" spans="8:9" s="78" customFormat="1" ht="15.5" hidden="1">
      <c r="H1103" s="79"/>
      <c r="I1103" s="79"/>
    </row>
    <row r="1104" spans="8:9" s="78" customFormat="1" ht="15.5" hidden="1">
      <c r="H1104" s="79"/>
      <c r="I1104" s="79"/>
    </row>
    <row r="1105" spans="8:9" s="78" customFormat="1" ht="15.5" hidden="1">
      <c r="H1105" s="79"/>
      <c r="I1105" s="79"/>
    </row>
    <row r="1106" spans="8:9" s="78" customFormat="1" ht="15.5" hidden="1">
      <c r="H1106" s="79"/>
      <c r="I1106" s="79"/>
    </row>
    <row r="1107" spans="8:9" s="78" customFormat="1" ht="15.5" hidden="1">
      <c r="H1107" s="79"/>
      <c r="I1107" s="79"/>
    </row>
    <row r="1108" spans="8:9" s="78" customFormat="1" ht="15.5" hidden="1">
      <c r="H1108" s="79"/>
      <c r="I1108" s="79"/>
    </row>
    <row r="1109" spans="8:9" s="78" customFormat="1" ht="15.5" hidden="1">
      <c r="H1109" s="79"/>
      <c r="I1109" s="79"/>
    </row>
    <row r="1110" spans="8:9" s="78" customFormat="1" ht="15.5" hidden="1">
      <c r="H1110" s="79"/>
      <c r="I1110" s="79"/>
    </row>
    <row r="1111" spans="8:9" s="78" customFormat="1" ht="15.5" hidden="1">
      <c r="H1111" s="79"/>
      <c r="I1111" s="79"/>
    </row>
    <row r="1112" spans="8:9" s="78" customFormat="1" ht="15.5" hidden="1">
      <c r="H1112" s="79"/>
      <c r="I1112" s="79"/>
    </row>
    <row r="1113" spans="8:9" s="78" customFormat="1" ht="15.5" hidden="1">
      <c r="H1113" s="79"/>
      <c r="I1113" s="79"/>
    </row>
    <row r="1114" spans="8:9" s="78" customFormat="1" ht="15.5" hidden="1">
      <c r="H1114" s="79"/>
      <c r="I1114" s="79"/>
    </row>
    <row r="1115" spans="8:9" s="78" customFormat="1" ht="15.5" hidden="1">
      <c r="H1115" s="79"/>
      <c r="I1115" s="79"/>
    </row>
    <row r="1116" spans="8:9" s="78" customFormat="1" ht="15.5" hidden="1">
      <c r="H1116" s="79"/>
      <c r="I1116" s="79"/>
    </row>
    <row r="1117" spans="8:9" s="78" customFormat="1" ht="15.5" hidden="1">
      <c r="H1117" s="79"/>
      <c r="I1117" s="79"/>
    </row>
    <row r="1118" spans="8:9" s="78" customFormat="1" ht="15.5" hidden="1">
      <c r="H1118" s="79"/>
      <c r="I1118" s="79"/>
    </row>
    <row r="1119" spans="8:9" s="78" customFormat="1" ht="15.5" hidden="1">
      <c r="H1119" s="79"/>
      <c r="I1119" s="79"/>
    </row>
    <row r="1120" spans="8:9" s="78" customFormat="1" ht="15.5" hidden="1">
      <c r="H1120" s="79"/>
      <c r="I1120" s="79"/>
    </row>
    <row r="1121" spans="8:9" s="78" customFormat="1" ht="15.5" hidden="1">
      <c r="H1121" s="79"/>
      <c r="I1121" s="79"/>
    </row>
    <row r="1122" spans="8:9" s="78" customFormat="1" ht="15.5" hidden="1">
      <c r="H1122" s="79"/>
      <c r="I1122" s="79"/>
    </row>
    <row r="1123" spans="8:9" s="78" customFormat="1" ht="15.5" hidden="1">
      <c r="H1123" s="79"/>
      <c r="I1123" s="79"/>
    </row>
    <row r="1124" spans="8:9" s="78" customFormat="1" ht="15.5" hidden="1">
      <c r="H1124" s="79"/>
      <c r="I1124" s="79"/>
    </row>
    <row r="1125" spans="8:9" s="78" customFormat="1" ht="15.5" hidden="1">
      <c r="H1125" s="79"/>
      <c r="I1125" s="79"/>
    </row>
    <row r="1126" spans="8:9" s="78" customFormat="1" ht="15.5" hidden="1">
      <c r="H1126" s="79"/>
      <c r="I1126" s="79"/>
    </row>
    <row r="1127" spans="8:9" s="78" customFormat="1" ht="15.5" hidden="1">
      <c r="H1127" s="79"/>
      <c r="I1127" s="79"/>
    </row>
    <row r="1128" spans="8:9" s="78" customFormat="1" ht="15.5" hidden="1">
      <c r="H1128" s="79"/>
      <c r="I1128" s="79"/>
    </row>
    <row r="1129" spans="8:9" s="78" customFormat="1" ht="15.5" hidden="1">
      <c r="H1129" s="79"/>
      <c r="I1129" s="79"/>
    </row>
    <row r="1130" spans="8:9" s="78" customFormat="1" ht="15.5" hidden="1">
      <c r="H1130" s="79"/>
      <c r="I1130" s="79"/>
    </row>
    <row r="1131" spans="8:9" s="78" customFormat="1" ht="15.5" hidden="1">
      <c r="H1131" s="79"/>
      <c r="I1131" s="79"/>
    </row>
    <row r="1132" spans="8:9" s="78" customFormat="1" ht="15.5" hidden="1">
      <c r="H1132" s="79"/>
      <c r="I1132" s="79"/>
    </row>
    <row r="1133" spans="8:9" s="78" customFormat="1" ht="15.5" hidden="1">
      <c r="H1133" s="79"/>
      <c r="I1133" s="79"/>
    </row>
    <row r="1134" spans="8:9" s="78" customFormat="1" ht="15.5" hidden="1">
      <c r="H1134" s="79"/>
      <c r="I1134" s="79"/>
    </row>
    <row r="1135" spans="8:9" s="78" customFormat="1" ht="15.5" hidden="1">
      <c r="H1135" s="79"/>
      <c r="I1135" s="79"/>
    </row>
    <row r="1136" spans="8:9" s="78" customFormat="1" ht="15.5" hidden="1">
      <c r="H1136" s="79"/>
      <c r="I1136" s="79"/>
    </row>
    <row r="1137" spans="8:9" s="78" customFormat="1" ht="15.5" hidden="1">
      <c r="H1137" s="79"/>
      <c r="I1137" s="79"/>
    </row>
    <row r="1138" spans="8:9" s="78" customFormat="1" ht="15.5" hidden="1">
      <c r="H1138" s="79"/>
      <c r="I1138" s="79"/>
    </row>
    <row r="1139" spans="8:9" s="78" customFormat="1" ht="15.5" hidden="1">
      <c r="H1139" s="79"/>
      <c r="I1139" s="79"/>
    </row>
    <row r="1140" spans="8:9" s="78" customFormat="1" ht="15.5" hidden="1">
      <c r="H1140" s="79"/>
      <c r="I1140" s="79"/>
    </row>
    <row r="1141" spans="8:9" s="78" customFormat="1" ht="15.5" hidden="1">
      <c r="H1141" s="79"/>
      <c r="I1141" s="79"/>
    </row>
    <row r="1142" spans="8:9" s="78" customFormat="1" ht="15.5" hidden="1">
      <c r="H1142" s="79"/>
      <c r="I1142" s="79"/>
    </row>
    <row r="1143" spans="8:9" s="78" customFormat="1" ht="15.5" hidden="1">
      <c r="H1143" s="79"/>
      <c r="I1143" s="79"/>
    </row>
    <row r="1144" spans="8:9" s="78" customFormat="1" ht="15.5" hidden="1">
      <c r="H1144" s="79"/>
      <c r="I1144" s="79"/>
    </row>
    <row r="1145" spans="8:9" s="78" customFormat="1" ht="15.5" hidden="1">
      <c r="H1145" s="79"/>
      <c r="I1145" s="79"/>
    </row>
    <row r="1146" spans="8:9" s="78" customFormat="1" ht="15.5" hidden="1">
      <c r="H1146" s="79"/>
      <c r="I1146" s="79"/>
    </row>
    <row r="1147" spans="8:9" s="78" customFormat="1" ht="15.5" hidden="1">
      <c r="H1147" s="79"/>
      <c r="I1147" s="79"/>
    </row>
    <row r="1148" spans="8:9" s="78" customFormat="1" ht="15.5" hidden="1">
      <c r="H1148" s="79"/>
      <c r="I1148" s="79"/>
    </row>
    <row r="1149" spans="8:9" s="78" customFormat="1" ht="15.5" hidden="1">
      <c r="H1149" s="79"/>
      <c r="I1149" s="79"/>
    </row>
    <row r="1150" spans="8:9" s="78" customFormat="1" ht="15.5" hidden="1">
      <c r="H1150" s="79"/>
      <c r="I1150" s="79"/>
    </row>
    <row r="1151" spans="8:9" s="78" customFormat="1" ht="15.5" hidden="1">
      <c r="H1151" s="79"/>
      <c r="I1151" s="79"/>
    </row>
    <row r="1152" spans="8:9" s="78" customFormat="1" ht="15.5" hidden="1">
      <c r="H1152" s="79"/>
      <c r="I1152" s="79"/>
    </row>
    <row r="1153" spans="8:9" s="78" customFormat="1" ht="15.5" hidden="1">
      <c r="H1153" s="79"/>
      <c r="I1153" s="79"/>
    </row>
    <row r="1154" spans="8:9" s="78" customFormat="1" ht="15.5" hidden="1">
      <c r="H1154" s="79"/>
      <c r="I1154" s="79"/>
    </row>
    <row r="1155" spans="8:9" s="78" customFormat="1" ht="15.5" hidden="1">
      <c r="H1155" s="79"/>
      <c r="I1155" s="79"/>
    </row>
    <row r="1156" spans="8:9" s="78" customFormat="1" ht="15.5" hidden="1">
      <c r="H1156" s="79"/>
      <c r="I1156" s="79"/>
    </row>
    <row r="1157" spans="8:9" s="78" customFormat="1" ht="15.5" hidden="1">
      <c r="H1157" s="79"/>
      <c r="I1157" s="79"/>
    </row>
    <row r="1158" spans="8:9" s="78" customFormat="1" ht="15.5" hidden="1">
      <c r="H1158" s="79"/>
      <c r="I1158" s="79"/>
    </row>
    <row r="1159" spans="8:9" s="78" customFormat="1" ht="15.5" hidden="1">
      <c r="H1159" s="79"/>
      <c r="I1159" s="79"/>
    </row>
    <row r="1160" spans="8:9" s="78" customFormat="1" ht="15.5" hidden="1">
      <c r="H1160" s="79"/>
      <c r="I1160" s="79"/>
    </row>
    <row r="1161" spans="8:9" s="78" customFormat="1" ht="15.5" hidden="1">
      <c r="H1161" s="79"/>
      <c r="I1161" s="79"/>
    </row>
    <row r="1162" spans="8:9" s="78" customFormat="1" ht="15.5" hidden="1">
      <c r="H1162" s="79"/>
      <c r="I1162" s="79"/>
    </row>
    <row r="1163" spans="8:9" s="78" customFormat="1" ht="15.5" hidden="1">
      <c r="H1163" s="79"/>
      <c r="I1163" s="79"/>
    </row>
    <row r="1164" spans="8:9" s="78" customFormat="1" ht="15.5" hidden="1">
      <c r="H1164" s="79"/>
      <c r="I1164" s="79"/>
    </row>
    <row r="1165" spans="8:9" s="78" customFormat="1" ht="15.5" hidden="1">
      <c r="H1165" s="79"/>
      <c r="I1165" s="79"/>
    </row>
    <row r="1166" spans="8:9" s="78" customFormat="1" ht="15.5" hidden="1">
      <c r="H1166" s="79"/>
      <c r="I1166" s="79"/>
    </row>
    <row r="1167" spans="8:9" s="78" customFormat="1" ht="15.5" hidden="1">
      <c r="H1167" s="79"/>
      <c r="I1167" s="79"/>
    </row>
    <row r="1168" spans="8:9" s="78" customFormat="1" ht="15.5" hidden="1">
      <c r="H1168" s="79"/>
      <c r="I1168" s="79"/>
    </row>
    <row r="1169" spans="8:9" s="78" customFormat="1" ht="15.5" hidden="1">
      <c r="H1169" s="79"/>
      <c r="I1169" s="79"/>
    </row>
    <row r="1170" spans="8:9" s="78" customFormat="1" ht="15.5" hidden="1">
      <c r="H1170" s="79"/>
      <c r="I1170" s="79"/>
    </row>
    <row r="1171" spans="8:9" s="78" customFormat="1" ht="15.5" hidden="1">
      <c r="H1171" s="79"/>
      <c r="I1171" s="79"/>
    </row>
    <row r="1172" spans="8:9" s="78" customFormat="1" ht="15.5" hidden="1">
      <c r="H1172" s="79"/>
      <c r="I1172" s="79"/>
    </row>
    <row r="1173" spans="8:9" s="78" customFormat="1" ht="15.5" hidden="1">
      <c r="H1173" s="79"/>
      <c r="I1173" s="79"/>
    </row>
    <row r="1174" spans="8:9" s="78" customFormat="1" ht="15.5" hidden="1">
      <c r="H1174" s="79"/>
      <c r="I1174" s="79"/>
    </row>
    <row r="1175" spans="8:9" s="78" customFormat="1" ht="15.5" hidden="1">
      <c r="H1175" s="79"/>
      <c r="I1175" s="79"/>
    </row>
    <row r="1176" spans="8:9" s="78" customFormat="1" ht="15.5" hidden="1">
      <c r="H1176" s="79"/>
      <c r="I1176" s="79"/>
    </row>
    <row r="1177" spans="8:9" s="78" customFormat="1" ht="15.5" hidden="1">
      <c r="H1177" s="79"/>
      <c r="I1177" s="79"/>
    </row>
    <row r="1178" spans="8:9" s="78" customFormat="1" ht="15.5" hidden="1">
      <c r="H1178" s="79"/>
      <c r="I1178" s="79"/>
    </row>
    <row r="1179" spans="8:9" s="78" customFormat="1" ht="15.5" hidden="1">
      <c r="H1179" s="79"/>
      <c r="I1179" s="79"/>
    </row>
    <row r="1180" spans="8:9" s="78" customFormat="1" ht="15.5" hidden="1">
      <c r="H1180" s="79"/>
      <c r="I1180" s="79"/>
    </row>
    <row r="1181" spans="8:9" s="78" customFormat="1" ht="15.5" hidden="1">
      <c r="H1181" s="79"/>
      <c r="I1181" s="79"/>
    </row>
    <row r="1182" spans="8:9" s="78" customFormat="1" ht="15.5" hidden="1">
      <c r="H1182" s="79"/>
      <c r="I1182" s="79"/>
    </row>
    <row r="1183" spans="8:9" s="78" customFormat="1" ht="15.5" hidden="1">
      <c r="H1183" s="79"/>
      <c r="I1183" s="79"/>
    </row>
    <row r="1184" spans="8:9" s="78" customFormat="1" ht="15.5" hidden="1">
      <c r="H1184" s="79"/>
      <c r="I1184" s="79"/>
    </row>
    <row r="1185" spans="8:9" s="78" customFormat="1" ht="15.5" hidden="1">
      <c r="H1185" s="79"/>
      <c r="I1185" s="79"/>
    </row>
    <row r="1186" spans="8:9" s="78" customFormat="1" ht="15.5" hidden="1">
      <c r="H1186" s="79"/>
      <c r="I1186" s="79"/>
    </row>
    <row r="1187" spans="8:9" s="78" customFormat="1" ht="15.5" hidden="1">
      <c r="H1187" s="79"/>
      <c r="I1187" s="79"/>
    </row>
    <row r="1188" spans="8:9" s="78" customFormat="1" ht="15.5" hidden="1">
      <c r="H1188" s="79"/>
      <c r="I1188" s="79"/>
    </row>
    <row r="1189" spans="8:9" s="78" customFormat="1" ht="15.5" hidden="1">
      <c r="H1189" s="79"/>
      <c r="I1189" s="79"/>
    </row>
    <row r="1190" spans="8:9" s="78" customFormat="1" ht="15.5" hidden="1">
      <c r="H1190" s="79"/>
      <c r="I1190" s="79"/>
    </row>
    <row r="1191" spans="8:9" s="78" customFormat="1" ht="15.5" hidden="1">
      <c r="H1191" s="79"/>
      <c r="I1191" s="79"/>
    </row>
    <row r="1192" spans="8:9" s="78" customFormat="1" ht="15.5" hidden="1">
      <c r="H1192" s="79"/>
      <c r="I1192" s="79"/>
    </row>
    <row r="1193" spans="8:9" s="78" customFormat="1" ht="15.5" hidden="1">
      <c r="H1193" s="79"/>
      <c r="I1193" s="79"/>
    </row>
    <row r="1194" spans="8:9" s="78" customFormat="1" ht="15.5" hidden="1">
      <c r="H1194" s="79"/>
      <c r="I1194" s="79"/>
    </row>
    <row r="1195" spans="8:9" s="78" customFormat="1" ht="15.5" hidden="1">
      <c r="H1195" s="79"/>
      <c r="I1195" s="79"/>
    </row>
    <row r="1196" spans="8:9" s="78" customFormat="1" ht="15.5" hidden="1">
      <c r="H1196" s="79"/>
      <c r="I1196" s="79"/>
    </row>
    <row r="1197" spans="8:9" s="78" customFormat="1" ht="15.5" hidden="1">
      <c r="H1197" s="79"/>
      <c r="I1197" s="79"/>
    </row>
    <row r="1198" spans="8:9" s="78" customFormat="1" ht="15.5" hidden="1">
      <c r="H1198" s="79"/>
      <c r="I1198" s="79"/>
    </row>
    <row r="1199" spans="8:9" s="78" customFormat="1" ht="15.5" hidden="1">
      <c r="H1199" s="79"/>
      <c r="I1199" s="79"/>
    </row>
    <row r="1200" spans="8:9" s="78" customFormat="1" ht="15.5" hidden="1">
      <c r="H1200" s="79"/>
      <c r="I1200" s="79"/>
    </row>
    <row r="1201" spans="8:9" s="78" customFormat="1" ht="15.5" hidden="1">
      <c r="H1201" s="79"/>
      <c r="I1201" s="79"/>
    </row>
    <row r="1202" spans="8:9" s="78" customFormat="1" ht="15.5" hidden="1">
      <c r="H1202" s="79"/>
      <c r="I1202" s="79"/>
    </row>
    <row r="1203" spans="8:9" s="78" customFormat="1" ht="15.5" hidden="1">
      <c r="H1203" s="79"/>
      <c r="I1203" s="79"/>
    </row>
    <row r="1204" spans="8:9" s="78" customFormat="1" ht="15.5" hidden="1">
      <c r="H1204" s="79"/>
      <c r="I1204" s="79"/>
    </row>
    <row r="1205" spans="8:9" s="78" customFormat="1" ht="15.5" hidden="1">
      <c r="H1205" s="79"/>
      <c r="I1205" s="79"/>
    </row>
    <row r="1206" spans="8:9" s="78" customFormat="1" ht="15.5" hidden="1">
      <c r="H1206" s="79"/>
      <c r="I1206" s="79"/>
    </row>
    <row r="1207" spans="8:9" s="78" customFormat="1" ht="15.5" hidden="1">
      <c r="H1207" s="79"/>
      <c r="I1207" s="79"/>
    </row>
    <row r="1208" spans="8:9" s="78" customFormat="1" ht="15.5" hidden="1">
      <c r="H1208" s="79"/>
      <c r="I1208" s="79"/>
    </row>
    <row r="1209" spans="8:9" s="78" customFormat="1" ht="15.5" hidden="1">
      <c r="H1209" s="79"/>
      <c r="I1209" s="79"/>
    </row>
    <row r="1210" spans="8:9" s="78" customFormat="1" ht="15.5" hidden="1">
      <c r="H1210" s="79"/>
      <c r="I1210" s="79"/>
    </row>
    <row r="1211" spans="8:9" s="78" customFormat="1" ht="15.5" hidden="1">
      <c r="H1211" s="79"/>
      <c r="I1211" s="79"/>
    </row>
    <row r="1212" spans="8:9" s="78" customFormat="1" ht="15.5" hidden="1">
      <c r="H1212" s="79"/>
      <c r="I1212" s="79"/>
    </row>
    <row r="1213" spans="8:9" s="78" customFormat="1" ht="15.5" hidden="1">
      <c r="H1213" s="79"/>
      <c r="I1213" s="79"/>
    </row>
    <row r="1214" spans="8:9" s="78" customFormat="1" ht="15.5" hidden="1">
      <c r="H1214" s="79"/>
      <c r="I1214" s="79"/>
    </row>
    <row r="1215" spans="8:9" s="78" customFormat="1" ht="15.5" hidden="1">
      <c r="H1215" s="79"/>
      <c r="I1215" s="79"/>
    </row>
    <row r="1216" spans="8:9" s="78" customFormat="1" ht="15.5" hidden="1">
      <c r="H1216" s="79"/>
      <c r="I1216" s="79"/>
    </row>
    <row r="1217" spans="8:9" s="78" customFormat="1" ht="15.5" hidden="1">
      <c r="H1217" s="79"/>
      <c r="I1217" s="79"/>
    </row>
    <row r="1218" spans="8:9" s="78" customFormat="1" ht="15.5" hidden="1">
      <c r="H1218" s="79"/>
      <c r="I1218" s="79"/>
    </row>
    <row r="1219" spans="8:9" s="78" customFormat="1" ht="15.5" hidden="1">
      <c r="H1219" s="79"/>
      <c r="I1219" s="79"/>
    </row>
    <row r="1220" spans="8:9" s="78" customFormat="1" ht="15.5" hidden="1">
      <c r="H1220" s="79"/>
      <c r="I1220" s="79"/>
    </row>
    <row r="1221" spans="8:9" s="78" customFormat="1" ht="15.5" hidden="1">
      <c r="H1221" s="79"/>
      <c r="I1221" s="79"/>
    </row>
    <row r="1222" spans="8:9" s="78" customFormat="1" ht="15.5" hidden="1">
      <c r="H1222" s="79"/>
      <c r="I1222" s="79"/>
    </row>
    <row r="1223" spans="8:9" s="78" customFormat="1" ht="15.5" hidden="1">
      <c r="H1223" s="79"/>
      <c r="I1223" s="79"/>
    </row>
    <row r="1224" spans="8:9" s="78" customFormat="1" ht="15.5" hidden="1">
      <c r="H1224" s="79"/>
      <c r="I1224" s="79"/>
    </row>
    <row r="1225" spans="8:9" s="78" customFormat="1" ht="15.5" hidden="1">
      <c r="H1225" s="79"/>
      <c r="I1225" s="79"/>
    </row>
    <row r="1226" spans="8:9" s="78" customFormat="1" ht="15.5" hidden="1">
      <c r="H1226" s="79"/>
      <c r="I1226" s="79"/>
    </row>
    <row r="1227" spans="8:9" s="78" customFormat="1" ht="15.5" hidden="1">
      <c r="H1227" s="79"/>
      <c r="I1227" s="79"/>
    </row>
    <row r="1228" spans="8:9" s="78" customFormat="1" ht="15.5" hidden="1">
      <c r="H1228" s="79"/>
      <c r="I1228" s="79"/>
    </row>
    <row r="1229" spans="8:9" s="78" customFormat="1" ht="15.5" hidden="1">
      <c r="H1229" s="79"/>
      <c r="I1229" s="79"/>
    </row>
    <row r="1230" spans="8:9" s="78" customFormat="1" ht="15.5" hidden="1">
      <c r="H1230" s="79"/>
      <c r="I1230" s="79"/>
    </row>
    <row r="1231" spans="8:9" s="78" customFormat="1" ht="15.5" hidden="1">
      <c r="H1231" s="79"/>
      <c r="I1231" s="79"/>
    </row>
    <row r="1232" spans="8:9" s="78" customFormat="1" ht="15.5" hidden="1">
      <c r="H1232" s="79"/>
      <c r="I1232" s="79"/>
    </row>
    <row r="1233" spans="8:9" s="78" customFormat="1" ht="15.5" hidden="1">
      <c r="H1233" s="79"/>
      <c r="I1233" s="79"/>
    </row>
    <row r="1234" spans="8:9" s="78" customFormat="1" ht="15.5" hidden="1">
      <c r="H1234" s="79"/>
      <c r="I1234" s="79"/>
    </row>
    <row r="1235" spans="8:9" s="78" customFormat="1" ht="15.5" hidden="1">
      <c r="H1235" s="79"/>
      <c r="I1235" s="79"/>
    </row>
    <row r="1236" spans="8:9" s="78" customFormat="1" ht="15.5" hidden="1">
      <c r="H1236" s="79"/>
      <c r="I1236" s="79"/>
    </row>
    <row r="1237" spans="8:9" s="78" customFormat="1" ht="15.5" hidden="1">
      <c r="H1237" s="79"/>
      <c r="I1237" s="79"/>
    </row>
    <row r="1238" spans="8:9" s="78" customFormat="1" ht="15.5" hidden="1">
      <c r="H1238" s="79"/>
      <c r="I1238" s="79"/>
    </row>
    <row r="1239" spans="8:9" s="78" customFormat="1" ht="15.5" hidden="1">
      <c r="H1239" s="79"/>
      <c r="I1239" s="79"/>
    </row>
    <row r="1240" spans="8:9" s="78" customFormat="1" ht="15.5" hidden="1">
      <c r="H1240" s="79"/>
      <c r="I1240" s="79"/>
    </row>
    <row r="1241" spans="8:9" s="78" customFormat="1" ht="15.5" hidden="1">
      <c r="H1241" s="79"/>
      <c r="I1241" s="79"/>
    </row>
    <row r="1242" spans="8:9" s="78" customFormat="1" ht="15.5" hidden="1">
      <c r="H1242" s="79"/>
      <c r="I1242" s="79"/>
    </row>
    <row r="1243" spans="8:9" s="78" customFormat="1" ht="15.5" hidden="1">
      <c r="H1243" s="79"/>
      <c r="I1243" s="79"/>
    </row>
    <row r="1244" spans="8:9" s="78" customFormat="1" ht="15.5" hidden="1">
      <c r="H1244" s="79"/>
      <c r="I1244" s="79"/>
    </row>
    <row r="1245" spans="8:9" s="78" customFormat="1" ht="15.5" hidden="1">
      <c r="H1245" s="79"/>
      <c r="I1245" s="79"/>
    </row>
    <row r="1246" spans="8:9" s="78" customFormat="1" ht="15.5" hidden="1">
      <c r="H1246" s="79"/>
      <c r="I1246" s="79"/>
    </row>
    <row r="1247" spans="8:9" s="78" customFormat="1" ht="15.5" hidden="1">
      <c r="H1247" s="79"/>
      <c r="I1247" s="79"/>
    </row>
    <row r="1248" spans="8:9" s="78" customFormat="1" ht="15.5" hidden="1">
      <c r="H1248" s="79"/>
      <c r="I1248" s="79"/>
    </row>
    <row r="1249" spans="8:9" s="78" customFormat="1" ht="15.5" hidden="1">
      <c r="H1249" s="79"/>
      <c r="I1249" s="79"/>
    </row>
    <row r="1250" spans="8:9" s="78" customFormat="1" ht="15.5" hidden="1">
      <c r="H1250" s="79"/>
      <c r="I1250" s="79"/>
    </row>
    <row r="1251" spans="8:9" s="78" customFormat="1" ht="15.5" hidden="1">
      <c r="H1251" s="79"/>
      <c r="I1251" s="79"/>
    </row>
    <row r="1252" spans="8:9" s="78" customFormat="1" ht="15.5" hidden="1">
      <c r="H1252" s="79"/>
      <c r="I1252" s="79"/>
    </row>
    <row r="1253" spans="8:9" s="78" customFormat="1" ht="15.5" hidden="1">
      <c r="H1253" s="79"/>
      <c r="I1253" s="79"/>
    </row>
    <row r="1254" spans="8:9" s="78" customFormat="1" ht="15.5" hidden="1">
      <c r="H1254" s="79"/>
      <c r="I1254" s="79"/>
    </row>
    <row r="1255" spans="8:9" s="78" customFormat="1" ht="15.5" hidden="1">
      <c r="H1255" s="79"/>
      <c r="I1255" s="79"/>
    </row>
    <row r="1256" spans="8:9" s="78" customFormat="1" ht="15.5" hidden="1">
      <c r="H1256" s="79"/>
      <c r="I1256" s="79"/>
    </row>
    <row r="1257" spans="8:9" s="78" customFormat="1" ht="15.5" hidden="1">
      <c r="H1257" s="79"/>
      <c r="I1257" s="79"/>
    </row>
    <row r="1258" spans="8:9" s="78" customFormat="1" ht="15.5" hidden="1">
      <c r="H1258" s="79"/>
      <c r="I1258" s="79"/>
    </row>
    <row r="1259" spans="8:9" s="78" customFormat="1" ht="15.5" hidden="1">
      <c r="H1259" s="79"/>
      <c r="I1259" s="79"/>
    </row>
    <row r="1260" spans="8:9" s="78" customFormat="1" ht="15.5" hidden="1">
      <c r="H1260" s="79"/>
      <c r="I1260" s="79"/>
    </row>
    <row r="1261" spans="8:9" s="78" customFormat="1" ht="15.5" hidden="1">
      <c r="H1261" s="79"/>
      <c r="I1261" s="79"/>
    </row>
    <row r="1262" spans="8:9" s="78" customFormat="1" ht="15.5" hidden="1">
      <c r="H1262" s="79"/>
      <c r="I1262" s="79"/>
    </row>
    <row r="1263" spans="8:9" s="78" customFormat="1" ht="15.5" hidden="1">
      <c r="H1263" s="79"/>
      <c r="I1263" s="79"/>
    </row>
    <row r="1264" spans="8:9" s="78" customFormat="1" ht="15.5" hidden="1">
      <c r="H1264" s="79"/>
      <c r="I1264" s="79"/>
    </row>
    <row r="1265" spans="8:9" s="78" customFormat="1" ht="15.5" hidden="1">
      <c r="H1265" s="79"/>
      <c r="I1265" s="79"/>
    </row>
    <row r="1266" spans="8:9" s="78" customFormat="1" ht="15.5" hidden="1">
      <c r="H1266" s="79"/>
      <c r="I1266" s="79"/>
    </row>
    <row r="1267" spans="8:9" s="78" customFormat="1" ht="15.5" hidden="1">
      <c r="H1267" s="79"/>
      <c r="I1267" s="79"/>
    </row>
    <row r="1268" spans="8:9" s="78" customFormat="1" ht="15.5" hidden="1">
      <c r="H1268" s="79"/>
      <c r="I1268" s="79"/>
    </row>
    <row r="1269" spans="8:9" s="78" customFormat="1" ht="15.5" hidden="1">
      <c r="H1269" s="79"/>
      <c r="I1269" s="79"/>
    </row>
    <row r="1270" spans="8:9" s="78" customFormat="1" ht="15.5" hidden="1">
      <c r="H1270" s="79"/>
      <c r="I1270" s="79"/>
    </row>
    <row r="1271" spans="8:9" s="78" customFormat="1" ht="15.5" hidden="1">
      <c r="H1271" s="79"/>
      <c r="I1271" s="79"/>
    </row>
    <row r="1272" spans="8:9" s="78" customFormat="1" ht="15.5" hidden="1">
      <c r="H1272" s="79"/>
      <c r="I1272" s="79"/>
    </row>
    <row r="1273" spans="8:9" s="78" customFormat="1" ht="15.5" hidden="1">
      <c r="H1273" s="79"/>
      <c r="I1273" s="79"/>
    </row>
    <row r="1274" spans="8:9" s="78" customFormat="1" ht="15.5" hidden="1">
      <c r="H1274" s="79"/>
      <c r="I1274" s="79"/>
    </row>
    <row r="1275" spans="8:9" s="78" customFormat="1" ht="15.5" hidden="1">
      <c r="H1275" s="79"/>
      <c r="I1275" s="79"/>
    </row>
    <row r="1276" spans="8:9" s="78" customFormat="1" ht="15.5" hidden="1">
      <c r="H1276" s="79"/>
      <c r="I1276" s="79"/>
    </row>
    <row r="1277" spans="8:9" s="78" customFormat="1" ht="15.5" hidden="1">
      <c r="H1277" s="79"/>
      <c r="I1277" s="79"/>
    </row>
    <row r="1278" spans="8:9" s="78" customFormat="1" ht="15.5" hidden="1">
      <c r="H1278" s="79"/>
      <c r="I1278" s="79"/>
    </row>
    <row r="1279" spans="8:9" s="78" customFormat="1" ht="15.5" hidden="1">
      <c r="H1279" s="79"/>
      <c r="I1279" s="79"/>
    </row>
    <row r="1280" spans="8:9" s="78" customFormat="1" ht="15.5" hidden="1">
      <c r="H1280" s="79"/>
      <c r="I1280" s="79"/>
    </row>
    <row r="1281" spans="8:9" s="78" customFormat="1" ht="15.5" hidden="1">
      <c r="H1281" s="79"/>
      <c r="I1281" s="79"/>
    </row>
    <row r="1282" spans="8:9" s="78" customFormat="1" ht="15.5" hidden="1">
      <c r="H1282" s="79"/>
      <c r="I1282" s="79"/>
    </row>
    <row r="1283" spans="8:9" s="78" customFormat="1" ht="15.5" hidden="1">
      <c r="H1283" s="79"/>
      <c r="I1283" s="79"/>
    </row>
    <row r="1284" spans="8:9" s="78" customFormat="1" ht="15.5" hidden="1">
      <c r="H1284" s="79"/>
      <c r="I1284" s="79"/>
    </row>
    <row r="1285" spans="8:9" s="78" customFormat="1" ht="15.5" hidden="1">
      <c r="H1285" s="79"/>
      <c r="I1285" s="79"/>
    </row>
    <row r="1286" spans="8:9" s="78" customFormat="1" ht="15.5" hidden="1">
      <c r="H1286" s="79"/>
      <c r="I1286" s="79"/>
    </row>
    <row r="1287" spans="8:9" s="78" customFormat="1" ht="15.5" hidden="1">
      <c r="H1287" s="79"/>
      <c r="I1287" s="79"/>
    </row>
    <row r="1288" spans="8:9" s="78" customFormat="1" ht="15.5" hidden="1">
      <c r="H1288" s="79"/>
      <c r="I1288" s="79"/>
    </row>
    <row r="1289" spans="8:9" s="78" customFormat="1" ht="15.5" hidden="1">
      <c r="H1289" s="79"/>
      <c r="I1289" s="79"/>
    </row>
    <row r="1290" spans="8:9" s="78" customFormat="1" ht="15.5" hidden="1">
      <c r="H1290" s="79"/>
      <c r="I1290" s="79"/>
    </row>
    <row r="1291" spans="8:9" s="78" customFormat="1" ht="15.5" hidden="1">
      <c r="H1291" s="79"/>
      <c r="I1291" s="79"/>
    </row>
    <row r="1292" spans="8:9" s="78" customFormat="1" ht="15.5" hidden="1">
      <c r="H1292" s="79"/>
      <c r="I1292" s="79"/>
    </row>
    <row r="1293" spans="8:9" s="78" customFormat="1" ht="15.5" hidden="1">
      <c r="H1293" s="79"/>
      <c r="I1293" s="79"/>
    </row>
    <row r="1294" spans="8:9" s="78" customFormat="1" ht="15.5" hidden="1">
      <c r="H1294" s="79"/>
      <c r="I1294" s="79"/>
    </row>
    <row r="1295" spans="8:9" s="78" customFormat="1" ht="15.5" hidden="1">
      <c r="H1295" s="79"/>
      <c r="I1295" s="79"/>
    </row>
    <row r="1296" spans="8:9" s="78" customFormat="1" ht="15.5" hidden="1">
      <c r="H1296" s="79"/>
      <c r="I1296" s="79"/>
    </row>
    <row r="1297" ht="15.5" hidden="1"/>
    <row r="1298" ht="15.5" hidden="1"/>
  </sheetData>
  <sheetProtection password="CC5B" sheet="1" objects="1" scenarios="1"/>
  <mergeCells count="24">
    <mergeCell ref="E28:H28"/>
    <mergeCell ref="M9:M10"/>
    <mergeCell ref="D16:D17"/>
    <mergeCell ref="C3:I3"/>
    <mergeCell ref="C5:I5"/>
    <mergeCell ref="C6:I6"/>
    <mergeCell ref="C8:H8"/>
    <mergeCell ref="E16:H17"/>
    <mergeCell ref="C34:I34"/>
    <mergeCell ref="D29:D31"/>
    <mergeCell ref="D32:H32"/>
    <mergeCell ref="D25:H25"/>
    <mergeCell ref="D18:H18"/>
    <mergeCell ref="E26:H26"/>
    <mergeCell ref="E27:H27"/>
    <mergeCell ref="E20:H20"/>
    <mergeCell ref="E21:H21"/>
    <mergeCell ref="E22:H22"/>
    <mergeCell ref="E23:H23"/>
    <mergeCell ref="E24:H24"/>
    <mergeCell ref="E19:H19"/>
    <mergeCell ref="E29:H29"/>
    <mergeCell ref="E30:H30"/>
    <mergeCell ref="E31:H31"/>
  </mergeCells>
  <dataValidations count="2">
    <dataValidation type="decimal" allowBlank="1" showInputMessage="1" showErrorMessage="1" error="Print saja !" promptTitle="Peringatan" sqref="S32:V1048576 Z1:XFD1048576 W15:W18 D29:D50 H7:H15 D19:D24 C16:C50 S12:U18 H44:H50 H33:H34 I33:I50 K15:L42 M11 V15:V16 B51:J1048576 K43:Q1048576 K12:M12 B2:B50 N41:O42 M22:M42 C2:I5 S1:U8 V1:Y14 G7:G9 K1:M8 B1:J1 A1:A1048576 R1:R18 J2:J50 E16 E33:G50 R33:R1048576 C7:F15 G14:G15 N1:Q40 I7:I18 D16:D17 M13:M20 W34:W1048576 X15:X1048576 Y15:Y18 Y21:Y1048576">
      <formula1>-1</formula1>
      <formula2>-1</formula2>
    </dataValidation>
    <dataValidation type="list" allowBlank="1" showInputMessage="1" showErrorMessage="1" sqref="M21">
      <formula1>$Y$19:$Y$20</formula1>
    </dataValidation>
  </dataValidations>
  <pageMargins left="0.39370078740157483" right="0.31496062992125984" top="0.74803149606299213" bottom="0.74803149606299213" header="0.31496062992125984" footer="0.31496062992125984"/>
  <pageSetup paperSize="9" scale="97" orientation="portrait" blackAndWhite="1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1315"/>
  <sheetViews>
    <sheetView showGridLines="0" workbookViewId="0">
      <selection activeCell="N11" sqref="N11"/>
    </sheetView>
  </sheetViews>
  <sheetFormatPr defaultColWidth="0" defaultRowHeight="15.5" zeroHeight="1"/>
  <cols>
    <col min="1" max="1" width="16.54296875" style="76" customWidth="1"/>
    <col min="2" max="2" width="8.54296875" style="78" customWidth="1"/>
    <col min="3" max="3" width="3.1796875" style="78" customWidth="1"/>
    <col min="4" max="4" width="4.453125" style="78" customWidth="1"/>
    <col min="5" max="5" width="25.54296875" style="78" customWidth="1"/>
    <col min="6" max="6" width="2.1796875" style="78" customWidth="1"/>
    <col min="7" max="7" width="12" style="78" customWidth="1"/>
    <col min="8" max="8" width="1.54296875" style="78" customWidth="1"/>
    <col min="9" max="9" width="13" style="79" customWidth="1"/>
    <col min="10" max="10" width="11.453125" style="79" customWidth="1"/>
    <col min="11" max="11" width="11.81640625" style="79" customWidth="1"/>
    <col min="12" max="12" width="11.1796875" style="78" customWidth="1"/>
    <col min="13" max="13" width="5.54296875" style="78" customWidth="1"/>
    <col min="14" max="14" width="9.1796875" style="78" customWidth="1"/>
    <col min="15" max="15" width="1.1796875" style="78" customWidth="1"/>
    <col min="16" max="16" width="1.453125" style="78" hidden="1" customWidth="1"/>
    <col min="17" max="17" width="4.7265625" style="78" hidden="1" customWidth="1"/>
    <col min="18" max="16384" width="9.1796875" style="78" hidden="1"/>
  </cols>
  <sheetData>
    <row r="1" spans="2:15">
      <c r="B1" s="76"/>
      <c r="C1" s="76"/>
      <c r="D1" s="76"/>
      <c r="E1" s="76"/>
      <c r="F1" s="76"/>
      <c r="G1" s="76"/>
      <c r="H1" s="76"/>
      <c r="I1" s="77"/>
      <c r="J1" s="77"/>
      <c r="K1" s="77"/>
      <c r="L1" s="76"/>
      <c r="M1" s="76"/>
      <c r="N1" s="76"/>
      <c r="O1" s="76"/>
    </row>
    <row r="2" spans="2:15">
      <c r="M2" s="76"/>
      <c r="N2" s="76"/>
      <c r="O2" s="76"/>
    </row>
    <row r="3" spans="2:15">
      <c r="M3" s="76"/>
      <c r="N3" s="76"/>
      <c r="O3" s="76"/>
    </row>
    <row r="4" spans="2:15">
      <c r="M4" s="76"/>
      <c r="N4" s="76"/>
      <c r="O4" s="76"/>
    </row>
    <row r="5" spans="2:15">
      <c r="M5" s="76"/>
      <c r="N5" s="76"/>
      <c r="O5" s="76"/>
    </row>
    <row r="6" spans="2:15">
      <c r="M6" s="76"/>
      <c r="N6" s="76"/>
      <c r="O6" s="76"/>
    </row>
    <row r="7" spans="2:15" ht="18">
      <c r="B7" s="589" t="s">
        <v>79</v>
      </c>
      <c r="C7" s="590"/>
      <c r="D7" s="590"/>
      <c r="E7" s="590"/>
      <c r="F7" s="590"/>
      <c r="G7" s="590"/>
      <c r="H7" s="590"/>
      <c r="I7" s="590"/>
      <c r="J7" s="590"/>
      <c r="K7" s="590"/>
      <c r="L7" s="590"/>
      <c r="M7" s="80"/>
      <c r="N7" s="76"/>
      <c r="O7" s="76"/>
    </row>
    <row r="8" spans="2:15" ht="18.5" thickBot="1">
      <c r="D8" s="81"/>
      <c r="E8" s="81"/>
      <c r="F8" s="81"/>
      <c r="G8" s="81"/>
      <c r="H8" s="81"/>
      <c r="I8" s="81"/>
      <c r="J8" s="81"/>
      <c r="K8" s="81"/>
      <c r="L8" s="81"/>
      <c r="M8" s="80"/>
      <c r="N8" s="76"/>
      <c r="O8" s="76"/>
    </row>
    <row r="9" spans="2:15" ht="31.5">
      <c r="D9" s="593" t="s">
        <v>204</v>
      </c>
      <c r="E9" s="593"/>
      <c r="F9" s="593"/>
      <c r="G9" s="593"/>
      <c r="H9" s="593"/>
      <c r="I9" s="593"/>
      <c r="J9" s="593"/>
      <c r="K9" s="593"/>
      <c r="L9" s="81"/>
      <c r="M9" s="80"/>
      <c r="N9" s="591">
        <v>1</v>
      </c>
      <c r="O9" s="76"/>
    </row>
    <row r="10" spans="2:15" ht="18.5" thickBot="1">
      <c r="D10" s="590"/>
      <c r="E10" s="590"/>
      <c r="F10" s="590"/>
      <c r="G10" s="590"/>
      <c r="H10" s="590"/>
      <c r="I10" s="590"/>
      <c r="J10" s="590"/>
      <c r="K10" s="590"/>
      <c r="L10" s="81"/>
      <c r="M10" s="80"/>
      <c r="N10" s="592"/>
      <c r="O10" s="76"/>
    </row>
    <row r="11" spans="2:15" ht="18">
      <c r="D11" s="590" t="s">
        <v>80</v>
      </c>
      <c r="E11" s="590"/>
      <c r="F11" s="590"/>
      <c r="G11" s="590"/>
      <c r="H11" s="590"/>
      <c r="I11" s="590"/>
      <c r="J11" s="590"/>
      <c r="K11" s="590"/>
      <c r="L11" s="81"/>
      <c r="M11" s="80"/>
      <c r="N11" s="80"/>
      <c r="O11" s="76"/>
    </row>
    <row r="12" spans="2:15" ht="18">
      <c r="D12" s="594" t="str">
        <f>"TAHUN PELAJARAN "&amp;Tahun_Pelajaran</f>
        <v>TAHUN PELAJARAN 2021/2022</v>
      </c>
      <c r="E12" s="594"/>
      <c r="F12" s="594"/>
      <c r="G12" s="594"/>
      <c r="H12" s="594"/>
      <c r="I12" s="594"/>
      <c r="J12" s="594"/>
      <c r="K12" s="594"/>
      <c r="L12" s="81"/>
      <c r="M12" s="80"/>
      <c r="N12" s="80"/>
      <c r="O12" s="76"/>
    </row>
    <row r="13" spans="2:15">
      <c r="I13" s="78"/>
      <c r="J13" s="78"/>
      <c r="K13" s="78"/>
      <c r="M13" s="76"/>
      <c r="N13" s="76"/>
      <c r="O13" s="76"/>
    </row>
    <row r="14" spans="2:15" ht="19" customHeight="1">
      <c r="L14" s="81"/>
      <c r="M14" s="80"/>
      <c r="N14" s="80"/>
      <c r="O14" s="76"/>
    </row>
    <row r="15" spans="2:15" ht="19" customHeight="1">
      <c r="D15" s="492" t="str">
        <f>CONCATENATE("Yang bertanda tangan di bawah ini, Kepala ",Nama_Sekolah)</f>
        <v>Yang bertanda tangan di bawah ini, Kepala Sekolah Dasar Negeri 1 Giriharjo</v>
      </c>
      <c r="E15" s="492"/>
      <c r="F15" s="492"/>
      <c r="G15" s="492"/>
      <c r="H15" s="492"/>
      <c r="I15" s="492"/>
      <c r="J15" s="492"/>
      <c r="K15" s="492"/>
      <c r="L15" s="84"/>
      <c r="M15" s="85"/>
      <c r="N15" s="76"/>
      <c r="O15" s="76"/>
    </row>
    <row r="16" spans="2:15" ht="19" customHeight="1">
      <c r="D16" s="156" t="str">
        <f>"Kecamatan "&amp;Kecamatan</f>
        <v>Kecamatan Puhpelem</v>
      </c>
      <c r="E16" s="384"/>
      <c r="F16" s="384"/>
      <c r="G16" s="384"/>
      <c r="H16" s="384"/>
      <c r="I16" s="384"/>
      <c r="J16" s="384"/>
      <c r="K16" s="384"/>
      <c r="L16" s="84"/>
      <c r="M16" s="85"/>
      <c r="N16" s="76"/>
      <c r="O16" s="76"/>
    </row>
    <row r="17" spans="4:15" ht="19" customHeight="1">
      <c r="D17" s="101" t="str">
        <f>CONCATENATE("Nomor Pokok Sekolah Nasional:    ",NPSN)</f>
        <v>Nomor Pokok Sekolah Nasional:    20311583</v>
      </c>
      <c r="E17" s="147"/>
      <c r="F17" s="147"/>
      <c r="G17" s="147"/>
      <c r="H17" s="147"/>
      <c r="I17" s="147"/>
      <c r="J17" s="147"/>
      <c r="K17" s="147"/>
      <c r="L17" s="84"/>
      <c r="M17" s="85"/>
      <c r="N17" s="76"/>
      <c r="O17" s="76"/>
    </row>
    <row r="18" spans="4:15" ht="19" customHeight="1">
      <c r="D18" s="101" t="str">
        <f>CONCATENATE("Kabupaten/Kota    ",Kabupaten)</f>
        <v>Kabupaten/Kota    Wonogiri</v>
      </c>
      <c r="E18" s="147"/>
      <c r="F18" s="147"/>
      <c r="G18" s="147"/>
      <c r="H18" s="147"/>
      <c r="I18" s="147"/>
      <c r="J18" s="147"/>
      <c r="K18" s="147"/>
      <c r="L18" s="84"/>
      <c r="M18" s="85"/>
      <c r="N18" s="76"/>
      <c r="O18" s="76"/>
    </row>
    <row r="19" spans="4:15" ht="19" customHeight="1">
      <c r="D19" s="78" t="str">
        <f>CONCATENATE("Provinsi    ",Provinsi,"                          menerangkan bahwa:")</f>
        <v>Provinsi    Jawa Tengah                          menerangkan bahwa:</v>
      </c>
      <c r="E19" s="81"/>
      <c r="F19" s="81"/>
      <c r="G19" s="81"/>
      <c r="H19" s="81"/>
      <c r="I19" s="81"/>
      <c r="J19" s="129"/>
      <c r="K19" s="129"/>
      <c r="M19" s="76"/>
      <c r="N19" s="76"/>
      <c r="O19" s="76"/>
    </row>
    <row r="20" spans="4:15" ht="19" customHeight="1">
      <c r="E20" s="81"/>
      <c r="F20" s="81"/>
      <c r="G20" s="81"/>
      <c r="H20" s="81"/>
      <c r="I20" s="81"/>
      <c r="J20" s="129"/>
      <c r="K20" s="129"/>
      <c r="M20" s="76"/>
      <c r="N20" s="76"/>
      <c r="O20" s="76"/>
    </row>
    <row r="21" spans="4:15" ht="19" customHeight="1">
      <c r="D21" s="87" t="s">
        <v>81</v>
      </c>
      <c r="E21" s="87"/>
      <c r="F21" s="88" t="s">
        <v>67</v>
      </c>
      <c r="G21" s="87" t="str">
        <f>UPPER(VLOOKUP($N$9,Data_siswa,5))</f>
        <v/>
      </c>
      <c r="H21" s="88"/>
      <c r="I21" s="88"/>
      <c r="J21" s="88"/>
      <c r="K21" s="88"/>
      <c r="L21" s="88"/>
      <c r="M21" s="76"/>
      <c r="N21" s="76"/>
      <c r="O21" s="76"/>
    </row>
    <row r="22" spans="4:15" ht="19" customHeight="1">
      <c r="D22" s="87" t="s">
        <v>82</v>
      </c>
      <c r="E22" s="87"/>
      <c r="F22" s="88" t="s">
        <v>67</v>
      </c>
      <c r="G22" s="89" t="str">
        <f>CONCATENATE(VLOOKUP($N$9,Data_siswa,8),", ",TEXT(VLOOKUP($N$9,Data_siswa,9),"D MMMM yyyy"))</f>
        <v>Wonogiri, 0 Januari 1900</v>
      </c>
      <c r="H22" s="83"/>
      <c r="I22" s="83"/>
      <c r="J22" s="83"/>
      <c r="K22" s="83"/>
      <c r="L22" s="83"/>
      <c r="M22" s="76"/>
      <c r="N22" s="76"/>
      <c r="O22" s="90"/>
    </row>
    <row r="23" spans="4:15" ht="19" customHeight="1">
      <c r="D23" s="87" t="s">
        <v>83</v>
      </c>
      <c r="E23" s="87"/>
      <c r="F23" s="88" t="s">
        <v>67</v>
      </c>
      <c r="G23" s="87">
        <f>VLOOKUP($N$9,Data_siswa,10)</f>
        <v>0</v>
      </c>
      <c r="H23" s="88"/>
      <c r="I23" s="88"/>
      <c r="J23" s="88"/>
      <c r="K23" s="88"/>
      <c r="L23" s="88"/>
      <c r="M23" s="76"/>
      <c r="N23" s="76"/>
      <c r="O23" s="90"/>
    </row>
    <row r="24" spans="4:15" ht="19" customHeight="1">
      <c r="D24" s="87" t="s">
        <v>89</v>
      </c>
      <c r="E24" s="87"/>
      <c r="F24" s="88" t="s">
        <v>67</v>
      </c>
      <c r="G24" s="91">
        <f>VLOOKUP($N$9,Data_siswa,2)</f>
        <v>2887</v>
      </c>
      <c r="H24" s="88"/>
      <c r="I24" s="88"/>
      <c r="J24" s="88"/>
      <c r="K24" s="88"/>
      <c r="L24" s="88"/>
      <c r="M24" s="76"/>
      <c r="N24" s="76"/>
      <c r="O24" s="90"/>
    </row>
    <row r="25" spans="4:15" ht="19" customHeight="1">
      <c r="D25" s="87" t="s">
        <v>90</v>
      </c>
      <c r="E25" s="87"/>
      <c r="F25" s="88" t="s">
        <v>67</v>
      </c>
      <c r="G25" s="91">
        <f>VLOOKUP($N$9,Data_siswa,3)</f>
        <v>0</v>
      </c>
      <c r="H25" s="88"/>
      <c r="I25" s="88"/>
      <c r="J25" s="88"/>
      <c r="K25" s="88"/>
      <c r="L25" s="88"/>
      <c r="M25" s="76"/>
      <c r="N25" s="76"/>
      <c r="O25" s="90"/>
    </row>
    <row r="26" spans="4:15">
      <c r="D26" s="86"/>
      <c r="E26" s="86"/>
      <c r="F26" s="86"/>
      <c r="G26" s="86"/>
      <c r="H26" s="86"/>
      <c r="I26" s="86"/>
      <c r="J26" s="86"/>
      <c r="K26" s="86"/>
      <c r="L26" s="84"/>
      <c r="M26" s="85"/>
      <c r="N26" s="76"/>
      <c r="O26" s="76"/>
    </row>
    <row r="27" spans="4:15" ht="30.75" customHeight="1">
      <c r="D27" s="587" t="s">
        <v>84</v>
      </c>
      <c r="E27" s="587"/>
      <c r="F27" s="587"/>
      <c r="G27" s="587"/>
      <c r="H27" s="587"/>
      <c r="I27" s="587"/>
      <c r="J27" s="587"/>
      <c r="K27" s="587"/>
      <c r="L27" s="84"/>
      <c r="M27" s="85"/>
      <c r="N27" s="94"/>
      <c r="O27" s="76"/>
    </row>
    <row r="28" spans="4:15" ht="15" customHeight="1">
      <c r="D28" s="86"/>
      <c r="E28" s="86"/>
      <c r="F28" s="86"/>
      <c r="G28" s="86"/>
      <c r="H28" s="86"/>
      <c r="I28" s="86"/>
      <c r="J28" s="86"/>
      <c r="K28" s="86"/>
      <c r="L28" s="84"/>
      <c r="M28" s="85"/>
      <c r="N28" s="94"/>
      <c r="O28" s="76"/>
    </row>
    <row r="29" spans="4:15" ht="19.5" customHeight="1">
      <c r="D29" s="155" t="s">
        <v>114</v>
      </c>
      <c r="E29" s="155"/>
      <c r="F29" s="155"/>
      <c r="G29" s="155"/>
      <c r="H29" s="155"/>
      <c r="I29" s="155"/>
      <c r="J29" s="155"/>
      <c r="K29" s="155"/>
      <c r="L29" s="84"/>
      <c r="M29" s="85"/>
      <c r="N29" s="94"/>
      <c r="O29" s="76"/>
    </row>
    <row r="30" spans="4:15" ht="19.5" customHeight="1">
      <c r="D30" s="156" t="s">
        <v>262</v>
      </c>
      <c r="E30" s="86"/>
      <c r="F30" s="86"/>
      <c r="G30" s="86"/>
      <c r="H30" s="86"/>
      <c r="I30" s="86"/>
      <c r="J30" s="86"/>
      <c r="K30" s="86"/>
      <c r="L30" s="84"/>
      <c r="M30" s="85"/>
      <c r="N30" s="94"/>
      <c r="O30" s="76"/>
    </row>
    <row r="31" spans="4:15">
      <c r="E31" s="95"/>
      <c r="F31" s="95"/>
      <c r="G31" s="95"/>
      <c r="H31" s="95"/>
      <c r="K31" s="96"/>
      <c r="M31" s="76"/>
      <c r="N31" s="76"/>
      <c r="O31" s="76"/>
    </row>
    <row r="32" spans="4:15">
      <c r="D32" s="588"/>
      <c r="E32" s="588"/>
      <c r="F32" s="588"/>
      <c r="G32" s="588"/>
      <c r="H32" s="588"/>
      <c r="I32" s="588"/>
      <c r="J32" s="588"/>
      <c r="K32" s="588"/>
      <c r="M32" s="76"/>
      <c r="N32" s="76"/>
      <c r="O32" s="76"/>
    </row>
    <row r="33" spans="2:15" ht="24" customHeight="1">
      <c r="D33" s="97"/>
      <c r="E33" s="97"/>
      <c r="F33" s="97"/>
      <c r="G33" s="97"/>
      <c r="H33" s="97"/>
      <c r="I33" s="393"/>
      <c r="J33" s="98"/>
      <c r="K33" s="98"/>
      <c r="M33" s="76"/>
      <c r="N33" s="76"/>
      <c r="O33" s="76"/>
    </row>
    <row r="34" spans="2:15">
      <c r="I34" s="387" t="str">
        <f>"Kab. "&amp;Kabupaten&amp;", "&amp;TEXT(Tgl_Lulus,"DD MMMM YYYY")</f>
        <v>Kab. Wonogiri, 16 Juni 2022</v>
      </c>
      <c r="J34" s="98"/>
      <c r="K34" s="98"/>
      <c r="M34" s="76"/>
      <c r="N34" s="76"/>
      <c r="O34" s="76"/>
    </row>
    <row r="35" spans="2:15">
      <c r="I35" s="388" t="s">
        <v>261</v>
      </c>
      <c r="J35" s="99"/>
      <c r="K35" s="99"/>
      <c r="M35" s="76"/>
      <c r="N35" s="76"/>
      <c r="O35" s="76"/>
    </row>
    <row r="36" spans="2:15">
      <c r="I36" s="325"/>
      <c r="J36" s="99"/>
      <c r="K36" s="99"/>
      <c r="M36" s="76"/>
      <c r="N36" s="76"/>
      <c r="O36" s="76"/>
    </row>
    <row r="37" spans="2:15">
      <c r="I37" s="330"/>
      <c r="J37" s="99"/>
      <c r="K37" s="99"/>
      <c r="M37" s="76"/>
      <c r="N37" s="76"/>
      <c r="O37" s="76"/>
    </row>
    <row r="38" spans="2:15">
      <c r="J38" s="99"/>
      <c r="K38" s="99"/>
      <c r="M38" s="76"/>
      <c r="N38" s="76"/>
      <c r="O38" s="76"/>
    </row>
    <row r="39" spans="2:15">
      <c r="I39" s="389">
        <f>Kepsek</f>
        <v>0</v>
      </c>
      <c r="J39" s="100"/>
      <c r="K39" s="100"/>
      <c r="L39" s="101"/>
      <c r="M39" s="102"/>
      <c r="N39" s="76"/>
      <c r="O39" s="76"/>
    </row>
    <row r="40" spans="2:15">
      <c r="I40" s="390" t="str">
        <f>IF(NIP_Kepsek="","",NIP_Kepsek)</f>
        <v/>
      </c>
      <c r="J40" s="103"/>
      <c r="K40" s="103"/>
      <c r="L40" s="101"/>
      <c r="M40" s="102"/>
      <c r="N40" s="76"/>
      <c r="O40" s="76"/>
    </row>
    <row r="41" spans="2:15">
      <c r="I41" s="390"/>
      <c r="J41" s="104"/>
      <c r="K41" s="104"/>
      <c r="L41" s="92"/>
      <c r="M41" s="93"/>
      <c r="N41" s="76"/>
      <c r="O41" s="76"/>
    </row>
    <row r="42" spans="2:15">
      <c r="M42" s="76"/>
      <c r="N42" s="76"/>
      <c r="O42" s="76"/>
    </row>
    <row r="43" spans="2:15">
      <c r="M43" s="76"/>
      <c r="N43" s="76"/>
      <c r="O43" s="76"/>
    </row>
    <row r="44" spans="2:15">
      <c r="M44" s="76"/>
      <c r="N44" s="76"/>
      <c r="O44" s="76"/>
    </row>
    <row r="45" spans="2:15">
      <c r="M45" s="76"/>
      <c r="N45" s="76"/>
      <c r="O45" s="76"/>
    </row>
    <row r="46" spans="2:15">
      <c r="M46" s="76"/>
      <c r="N46" s="76"/>
      <c r="O46" s="76"/>
    </row>
    <row r="47" spans="2:15"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</row>
    <row r="48" spans="2:15"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</row>
    <row r="49" spans="1:15">
      <c r="B49" s="105" t="s">
        <v>85</v>
      </c>
      <c r="C49" s="76"/>
      <c r="D49" s="76"/>
      <c r="E49" s="76"/>
      <c r="F49" s="76"/>
      <c r="G49" s="76"/>
      <c r="H49" s="76"/>
      <c r="I49" s="77"/>
      <c r="J49" s="77"/>
      <c r="K49" s="77"/>
      <c r="L49" s="76"/>
      <c r="M49" s="76"/>
      <c r="N49" s="76"/>
      <c r="O49" s="76"/>
    </row>
    <row r="50" spans="1:15">
      <c r="B50" s="76"/>
      <c r="C50" s="76"/>
      <c r="D50" s="76"/>
      <c r="E50" s="76"/>
      <c r="F50" s="76"/>
      <c r="G50" s="76"/>
      <c r="H50" s="76"/>
      <c r="I50" s="77"/>
      <c r="J50" s="77"/>
      <c r="K50" s="77"/>
      <c r="L50" s="76"/>
      <c r="M50" s="76"/>
      <c r="N50" s="76"/>
      <c r="O50" s="76"/>
    </row>
    <row r="51" spans="1:15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</row>
    <row r="52" spans="1:15">
      <c r="B52" s="106" t="s">
        <v>205</v>
      </c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</row>
    <row r="53" spans="1:15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</row>
    <row r="54" spans="1:15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</row>
    <row r="55" spans="1:15" hidden="1">
      <c r="A55" s="78"/>
      <c r="I55" s="78"/>
      <c r="J55" s="78"/>
      <c r="K55" s="78"/>
    </row>
    <row r="56" spans="1:15" hidden="1">
      <c r="A56" s="78"/>
    </row>
    <row r="57" spans="1:15" hidden="1">
      <c r="A57" s="78"/>
    </row>
    <row r="58" spans="1:15" hidden="1">
      <c r="A58" s="78"/>
    </row>
    <row r="59" spans="1:15" hidden="1">
      <c r="A59" s="78"/>
    </row>
    <row r="60" spans="1:15" hidden="1">
      <c r="A60" s="78"/>
    </row>
    <row r="61" spans="1:15" hidden="1">
      <c r="A61" s="78"/>
    </row>
    <row r="62" spans="1:15" hidden="1">
      <c r="A62" s="78"/>
    </row>
    <row r="63" spans="1:15" hidden="1">
      <c r="A63" s="78"/>
    </row>
    <row r="64" spans="1:15" hidden="1">
      <c r="A64" s="78"/>
    </row>
    <row r="65" spans="1:1" hidden="1">
      <c r="A65" s="78"/>
    </row>
    <row r="66" spans="1:1" hidden="1">
      <c r="A66" s="78"/>
    </row>
    <row r="67" spans="1:1" hidden="1">
      <c r="A67" s="78"/>
    </row>
    <row r="68" spans="1:1" hidden="1">
      <c r="A68" s="78"/>
    </row>
    <row r="69" spans="1:1" hidden="1">
      <c r="A69" s="78"/>
    </row>
    <row r="70" spans="1:1" hidden="1">
      <c r="A70" s="78"/>
    </row>
    <row r="71" spans="1:1" hidden="1">
      <c r="A71" s="78"/>
    </row>
    <row r="72" spans="1:1" hidden="1">
      <c r="A72" s="78"/>
    </row>
    <row r="73" spans="1:1" hidden="1">
      <c r="A73" s="78"/>
    </row>
    <row r="74" spans="1:1" hidden="1">
      <c r="A74" s="78"/>
    </row>
    <row r="75" spans="1:1" hidden="1">
      <c r="A75" s="78"/>
    </row>
    <row r="76" spans="1:1" hidden="1">
      <c r="A76" s="78"/>
    </row>
    <row r="77" spans="1:1" hidden="1">
      <c r="A77" s="78"/>
    </row>
    <row r="78" spans="1:1" hidden="1">
      <c r="A78" s="78"/>
    </row>
    <row r="79" spans="1:1" hidden="1">
      <c r="A79" s="78"/>
    </row>
    <row r="80" spans="1:1" hidden="1">
      <c r="A80" s="78"/>
    </row>
    <row r="81" spans="1:1" hidden="1">
      <c r="A81" s="78"/>
    </row>
    <row r="82" spans="1:1" hidden="1">
      <c r="A82" s="78"/>
    </row>
    <row r="83" spans="1:1" hidden="1">
      <c r="A83" s="78"/>
    </row>
    <row r="84" spans="1:1" hidden="1">
      <c r="A84" s="78"/>
    </row>
    <row r="85" spans="1:1" hidden="1">
      <c r="A85" s="78"/>
    </row>
    <row r="86" spans="1:1" hidden="1">
      <c r="A86" s="78"/>
    </row>
    <row r="87" spans="1:1" hidden="1">
      <c r="A87" s="78"/>
    </row>
    <row r="88" spans="1:1" hidden="1">
      <c r="A88" s="78"/>
    </row>
    <row r="89" spans="1:1" hidden="1">
      <c r="A89" s="78"/>
    </row>
    <row r="90" spans="1:1" hidden="1">
      <c r="A90" s="78"/>
    </row>
    <row r="91" spans="1:1" hidden="1">
      <c r="A91" s="78"/>
    </row>
    <row r="92" spans="1:1" hidden="1">
      <c r="A92" s="78"/>
    </row>
    <row r="93" spans="1:1" hidden="1">
      <c r="A93" s="78"/>
    </row>
    <row r="94" spans="1:1" hidden="1">
      <c r="A94" s="78"/>
    </row>
    <row r="95" spans="1:1" hidden="1">
      <c r="A95" s="78"/>
    </row>
    <row r="96" spans="1:1" hidden="1">
      <c r="A96" s="78"/>
    </row>
    <row r="97" spans="1:1" hidden="1">
      <c r="A97" s="78"/>
    </row>
    <row r="98" spans="1:1" hidden="1">
      <c r="A98" s="78"/>
    </row>
    <row r="99" spans="1:1" hidden="1">
      <c r="A99" s="78"/>
    </row>
    <row r="100" spans="1:1" hidden="1">
      <c r="A100" s="78"/>
    </row>
    <row r="101" spans="1:1" hidden="1">
      <c r="A101" s="78"/>
    </row>
    <row r="102" spans="1:1" hidden="1">
      <c r="A102" s="78"/>
    </row>
    <row r="103" spans="1:1" hidden="1">
      <c r="A103" s="78"/>
    </row>
    <row r="104" spans="1:1" hidden="1">
      <c r="A104" s="78"/>
    </row>
    <row r="105" spans="1:1" hidden="1">
      <c r="A105" s="78"/>
    </row>
    <row r="106" spans="1:1" hidden="1">
      <c r="A106" s="78"/>
    </row>
    <row r="107" spans="1:1" hidden="1">
      <c r="A107" s="78"/>
    </row>
    <row r="108" spans="1:1" hidden="1">
      <c r="A108" s="78"/>
    </row>
    <row r="109" spans="1:1" hidden="1">
      <c r="A109" s="78"/>
    </row>
    <row r="110" spans="1:1" hidden="1">
      <c r="A110" s="78"/>
    </row>
    <row r="111" spans="1:1" hidden="1">
      <c r="A111" s="78"/>
    </row>
    <row r="112" spans="1:1" hidden="1">
      <c r="A112" s="78"/>
    </row>
    <row r="113" spans="1:1" hidden="1">
      <c r="A113" s="78"/>
    </row>
    <row r="114" spans="1:1" hidden="1">
      <c r="A114" s="78"/>
    </row>
    <row r="115" spans="1:1" hidden="1">
      <c r="A115" s="78"/>
    </row>
    <row r="116" spans="1:1" hidden="1">
      <c r="A116" s="78"/>
    </row>
    <row r="117" spans="1:1" hidden="1">
      <c r="A117" s="78"/>
    </row>
    <row r="118" spans="1:1" hidden="1">
      <c r="A118" s="78"/>
    </row>
    <row r="119" spans="1:1" hidden="1">
      <c r="A119" s="78"/>
    </row>
    <row r="120" spans="1:1" hidden="1">
      <c r="A120" s="78"/>
    </row>
    <row r="121" spans="1:1" hidden="1">
      <c r="A121" s="78"/>
    </row>
    <row r="122" spans="1:1" hidden="1">
      <c r="A122" s="78"/>
    </row>
    <row r="123" spans="1:1" hidden="1">
      <c r="A123" s="78"/>
    </row>
    <row r="124" spans="1:1" hidden="1">
      <c r="A124" s="78"/>
    </row>
    <row r="125" spans="1:1" hidden="1">
      <c r="A125" s="78"/>
    </row>
    <row r="126" spans="1:1" hidden="1">
      <c r="A126" s="78"/>
    </row>
    <row r="127" spans="1:1" hidden="1">
      <c r="A127" s="78"/>
    </row>
    <row r="128" spans="1:1" hidden="1">
      <c r="A128" s="78"/>
    </row>
    <row r="129" spans="1:1" hidden="1">
      <c r="A129" s="78"/>
    </row>
    <row r="130" spans="1:1" hidden="1">
      <c r="A130" s="78"/>
    </row>
    <row r="131" spans="1:1" hidden="1">
      <c r="A131" s="78"/>
    </row>
    <row r="132" spans="1:1" hidden="1">
      <c r="A132" s="78"/>
    </row>
    <row r="133" spans="1:1" hidden="1">
      <c r="A133" s="78"/>
    </row>
    <row r="134" spans="1:1" hidden="1">
      <c r="A134" s="78"/>
    </row>
    <row r="135" spans="1:1" hidden="1">
      <c r="A135" s="78"/>
    </row>
    <row r="136" spans="1:1" hidden="1">
      <c r="A136" s="78"/>
    </row>
    <row r="137" spans="1:1" hidden="1">
      <c r="A137" s="78"/>
    </row>
    <row r="138" spans="1:1" hidden="1">
      <c r="A138" s="78"/>
    </row>
    <row r="139" spans="1:1" hidden="1">
      <c r="A139" s="78"/>
    </row>
    <row r="140" spans="1:1" hidden="1">
      <c r="A140" s="78"/>
    </row>
    <row r="141" spans="1:1" hidden="1">
      <c r="A141" s="78"/>
    </row>
    <row r="142" spans="1:1" hidden="1">
      <c r="A142" s="78"/>
    </row>
    <row r="143" spans="1:1" hidden="1">
      <c r="A143" s="78"/>
    </row>
    <row r="144" spans="1:1" hidden="1">
      <c r="A144" s="78"/>
    </row>
    <row r="145" spans="1:1" hidden="1">
      <c r="A145" s="78"/>
    </row>
    <row r="146" spans="1:1" hidden="1">
      <c r="A146" s="78"/>
    </row>
    <row r="147" spans="1:1" hidden="1">
      <c r="A147" s="78"/>
    </row>
    <row r="148" spans="1:1" hidden="1">
      <c r="A148" s="78"/>
    </row>
    <row r="149" spans="1:1" hidden="1">
      <c r="A149" s="78"/>
    </row>
    <row r="150" spans="1:1" hidden="1">
      <c r="A150" s="78"/>
    </row>
    <row r="151" spans="1:1" hidden="1">
      <c r="A151" s="78"/>
    </row>
    <row r="152" spans="1:1" hidden="1">
      <c r="A152" s="78"/>
    </row>
    <row r="153" spans="1:1" hidden="1">
      <c r="A153" s="78"/>
    </row>
    <row r="154" spans="1:1" hidden="1">
      <c r="A154" s="78"/>
    </row>
    <row r="155" spans="1:1" hidden="1">
      <c r="A155" s="78"/>
    </row>
    <row r="156" spans="1:1" hidden="1">
      <c r="A156" s="78"/>
    </row>
    <row r="157" spans="1:1" hidden="1">
      <c r="A157" s="78"/>
    </row>
    <row r="158" spans="1:1" hidden="1">
      <c r="A158" s="78"/>
    </row>
    <row r="159" spans="1:1" hidden="1">
      <c r="A159" s="78"/>
    </row>
    <row r="160" spans="1:1" hidden="1">
      <c r="A160" s="78"/>
    </row>
    <row r="161" spans="1:1" hidden="1">
      <c r="A161" s="78"/>
    </row>
    <row r="162" spans="1:1" hidden="1">
      <c r="A162" s="78"/>
    </row>
    <row r="163" spans="1:1" hidden="1">
      <c r="A163" s="78"/>
    </row>
    <row r="164" spans="1:1" hidden="1">
      <c r="A164" s="78"/>
    </row>
    <row r="165" spans="1:1" hidden="1">
      <c r="A165" s="78"/>
    </row>
    <row r="166" spans="1:1" hidden="1">
      <c r="A166" s="78"/>
    </row>
    <row r="167" spans="1:1" hidden="1">
      <c r="A167" s="78"/>
    </row>
    <row r="168" spans="1:1" hidden="1">
      <c r="A168" s="78"/>
    </row>
    <row r="169" spans="1:1" hidden="1">
      <c r="A169" s="78"/>
    </row>
    <row r="170" spans="1:1" hidden="1">
      <c r="A170" s="78"/>
    </row>
    <row r="171" spans="1:1" hidden="1">
      <c r="A171" s="78"/>
    </row>
    <row r="172" spans="1:1" hidden="1">
      <c r="A172" s="78"/>
    </row>
    <row r="173" spans="1:1" hidden="1">
      <c r="A173" s="78"/>
    </row>
    <row r="174" spans="1:1" hidden="1">
      <c r="A174" s="78"/>
    </row>
    <row r="175" spans="1:1" hidden="1">
      <c r="A175" s="78"/>
    </row>
    <row r="176" spans="1:1" hidden="1">
      <c r="A176" s="78"/>
    </row>
    <row r="177" spans="1:1" hidden="1">
      <c r="A177" s="78"/>
    </row>
    <row r="178" spans="1:1" hidden="1">
      <c r="A178" s="78"/>
    </row>
    <row r="179" spans="1:1" hidden="1">
      <c r="A179" s="78"/>
    </row>
    <row r="180" spans="1:1" hidden="1">
      <c r="A180" s="78"/>
    </row>
    <row r="181" spans="1:1" hidden="1">
      <c r="A181" s="78"/>
    </row>
    <row r="182" spans="1:1" hidden="1">
      <c r="A182" s="78"/>
    </row>
    <row r="183" spans="1:1" hidden="1">
      <c r="A183" s="78"/>
    </row>
    <row r="184" spans="1:1" hidden="1">
      <c r="A184" s="78"/>
    </row>
    <row r="185" spans="1:1" hidden="1">
      <c r="A185" s="78"/>
    </row>
    <row r="186" spans="1:1" hidden="1">
      <c r="A186" s="78"/>
    </row>
    <row r="187" spans="1:1" hidden="1">
      <c r="A187" s="78"/>
    </row>
    <row r="188" spans="1:1" hidden="1">
      <c r="A188" s="78"/>
    </row>
    <row r="189" spans="1:1" hidden="1">
      <c r="A189" s="78"/>
    </row>
    <row r="190" spans="1:1" hidden="1">
      <c r="A190" s="78"/>
    </row>
    <row r="191" spans="1:1" hidden="1">
      <c r="A191" s="78"/>
    </row>
    <row r="192" spans="1:1" hidden="1">
      <c r="A192" s="78"/>
    </row>
    <row r="193" spans="1:1" hidden="1">
      <c r="A193" s="78"/>
    </row>
    <row r="194" spans="1:1" hidden="1">
      <c r="A194" s="78"/>
    </row>
    <row r="195" spans="1:1" hidden="1">
      <c r="A195" s="78"/>
    </row>
    <row r="196" spans="1:1" hidden="1">
      <c r="A196" s="78"/>
    </row>
    <row r="197" spans="1:1" hidden="1">
      <c r="A197" s="78"/>
    </row>
    <row r="198" spans="1:1" hidden="1">
      <c r="A198" s="78"/>
    </row>
    <row r="199" spans="1:1" hidden="1">
      <c r="A199" s="78"/>
    </row>
    <row r="200" spans="1:1" hidden="1">
      <c r="A200" s="78"/>
    </row>
    <row r="201" spans="1:1" hidden="1">
      <c r="A201" s="78"/>
    </row>
    <row r="202" spans="1:1" hidden="1">
      <c r="A202" s="78"/>
    </row>
    <row r="203" spans="1:1" hidden="1">
      <c r="A203" s="78"/>
    </row>
    <row r="204" spans="1:1" hidden="1">
      <c r="A204" s="78"/>
    </row>
    <row r="205" spans="1:1" hidden="1">
      <c r="A205" s="78"/>
    </row>
    <row r="206" spans="1:1" hidden="1">
      <c r="A206" s="78"/>
    </row>
    <row r="207" spans="1:1" hidden="1">
      <c r="A207" s="78"/>
    </row>
    <row r="208" spans="1:1" hidden="1">
      <c r="A208" s="78"/>
    </row>
    <row r="209" spans="1:1" hidden="1">
      <c r="A209" s="78"/>
    </row>
    <row r="210" spans="1:1" hidden="1">
      <c r="A210" s="78"/>
    </row>
    <row r="211" spans="1:1" hidden="1">
      <c r="A211" s="78"/>
    </row>
    <row r="212" spans="1:1" hidden="1">
      <c r="A212" s="78"/>
    </row>
    <row r="213" spans="1:1" hidden="1">
      <c r="A213" s="78"/>
    </row>
    <row r="214" spans="1:1" hidden="1">
      <c r="A214" s="78"/>
    </row>
    <row r="215" spans="1:1" hidden="1">
      <c r="A215" s="78"/>
    </row>
    <row r="216" spans="1:1" hidden="1">
      <c r="A216" s="78"/>
    </row>
    <row r="217" spans="1:1" hidden="1">
      <c r="A217" s="78"/>
    </row>
    <row r="218" spans="1:1" hidden="1">
      <c r="A218" s="78"/>
    </row>
    <row r="219" spans="1:1" hidden="1">
      <c r="A219" s="78"/>
    </row>
    <row r="220" spans="1:1" hidden="1">
      <c r="A220" s="78"/>
    </row>
    <row r="221" spans="1:1" hidden="1">
      <c r="A221" s="78"/>
    </row>
    <row r="222" spans="1:1" hidden="1">
      <c r="A222" s="78"/>
    </row>
    <row r="223" spans="1:1" hidden="1">
      <c r="A223" s="78"/>
    </row>
    <row r="224" spans="1:1" hidden="1">
      <c r="A224" s="78"/>
    </row>
    <row r="225" spans="1:1" hidden="1">
      <c r="A225" s="78"/>
    </row>
    <row r="226" spans="1:1" hidden="1">
      <c r="A226" s="78"/>
    </row>
    <row r="227" spans="1:1" hidden="1">
      <c r="A227" s="78"/>
    </row>
    <row r="228" spans="1:1" hidden="1">
      <c r="A228" s="78"/>
    </row>
    <row r="229" spans="1:1" hidden="1">
      <c r="A229" s="78"/>
    </row>
    <row r="230" spans="1:1" hidden="1">
      <c r="A230" s="78"/>
    </row>
    <row r="231" spans="1:1" hidden="1">
      <c r="A231" s="78"/>
    </row>
    <row r="232" spans="1:1" hidden="1">
      <c r="A232" s="78"/>
    </row>
    <row r="233" spans="1:1" hidden="1">
      <c r="A233" s="78"/>
    </row>
    <row r="234" spans="1:1" hidden="1">
      <c r="A234" s="78"/>
    </row>
    <row r="235" spans="1:1" hidden="1">
      <c r="A235" s="78"/>
    </row>
    <row r="236" spans="1:1" hidden="1">
      <c r="A236" s="78"/>
    </row>
    <row r="237" spans="1:1" hidden="1">
      <c r="A237" s="78"/>
    </row>
    <row r="238" spans="1:1" hidden="1">
      <c r="A238" s="78"/>
    </row>
    <row r="239" spans="1:1" hidden="1">
      <c r="A239" s="78"/>
    </row>
    <row r="240" spans="1:1" hidden="1">
      <c r="A240" s="78"/>
    </row>
    <row r="241" spans="1:1" hidden="1">
      <c r="A241" s="78"/>
    </row>
    <row r="242" spans="1:1" hidden="1">
      <c r="A242" s="78"/>
    </row>
    <row r="243" spans="1:1" hidden="1">
      <c r="A243" s="78"/>
    </row>
    <row r="244" spans="1:1" hidden="1">
      <c r="A244" s="78"/>
    </row>
    <row r="245" spans="1:1" hidden="1">
      <c r="A245" s="78"/>
    </row>
    <row r="246" spans="1:1" hidden="1">
      <c r="A246" s="78"/>
    </row>
    <row r="247" spans="1:1" hidden="1">
      <c r="A247" s="78"/>
    </row>
    <row r="248" spans="1:1" hidden="1">
      <c r="A248" s="78"/>
    </row>
    <row r="249" spans="1:1" hidden="1">
      <c r="A249" s="78"/>
    </row>
    <row r="250" spans="1:1" hidden="1">
      <c r="A250" s="78"/>
    </row>
    <row r="251" spans="1:1" hidden="1">
      <c r="A251" s="78"/>
    </row>
    <row r="252" spans="1:1" hidden="1">
      <c r="A252" s="78"/>
    </row>
    <row r="253" spans="1:1" hidden="1">
      <c r="A253" s="78"/>
    </row>
    <row r="254" spans="1:1" hidden="1">
      <c r="A254" s="78"/>
    </row>
    <row r="255" spans="1:1" hidden="1">
      <c r="A255" s="78"/>
    </row>
    <row r="256" spans="1:1" hidden="1">
      <c r="A256" s="78"/>
    </row>
    <row r="257" spans="1:1" hidden="1">
      <c r="A257" s="78"/>
    </row>
    <row r="258" spans="1:1" hidden="1">
      <c r="A258" s="78"/>
    </row>
    <row r="259" spans="1:1" hidden="1">
      <c r="A259" s="78"/>
    </row>
    <row r="260" spans="1:1" hidden="1">
      <c r="A260" s="78"/>
    </row>
    <row r="261" spans="1:1" hidden="1">
      <c r="A261" s="78"/>
    </row>
    <row r="262" spans="1:1" hidden="1">
      <c r="A262" s="78"/>
    </row>
    <row r="263" spans="1:1" hidden="1">
      <c r="A263" s="78"/>
    </row>
    <row r="264" spans="1:1" hidden="1">
      <c r="A264" s="78"/>
    </row>
    <row r="265" spans="1:1" hidden="1">
      <c r="A265" s="78"/>
    </row>
    <row r="266" spans="1:1" hidden="1">
      <c r="A266" s="78"/>
    </row>
    <row r="267" spans="1:1" hidden="1">
      <c r="A267" s="78"/>
    </row>
    <row r="268" spans="1:1" hidden="1">
      <c r="A268" s="78"/>
    </row>
    <row r="269" spans="1:1" hidden="1">
      <c r="A269" s="78"/>
    </row>
    <row r="270" spans="1:1" hidden="1">
      <c r="A270" s="78"/>
    </row>
    <row r="271" spans="1:1" hidden="1">
      <c r="A271" s="78"/>
    </row>
    <row r="272" spans="1:1" hidden="1">
      <c r="A272" s="78"/>
    </row>
    <row r="273" spans="1:1" hidden="1">
      <c r="A273" s="78"/>
    </row>
    <row r="274" spans="1:1" hidden="1">
      <c r="A274" s="78"/>
    </row>
    <row r="275" spans="1:1" hidden="1">
      <c r="A275" s="78"/>
    </row>
    <row r="276" spans="1:1" hidden="1">
      <c r="A276" s="78"/>
    </row>
    <row r="277" spans="1:1" hidden="1">
      <c r="A277" s="78"/>
    </row>
    <row r="278" spans="1:1" hidden="1">
      <c r="A278" s="78"/>
    </row>
    <row r="279" spans="1:1" hidden="1">
      <c r="A279" s="78"/>
    </row>
    <row r="280" spans="1:1" hidden="1">
      <c r="A280" s="78"/>
    </row>
    <row r="281" spans="1:1" hidden="1">
      <c r="A281" s="78"/>
    </row>
    <row r="282" spans="1:1" hidden="1">
      <c r="A282" s="78"/>
    </row>
    <row r="283" spans="1:1" hidden="1">
      <c r="A283" s="78"/>
    </row>
    <row r="284" spans="1:1" hidden="1">
      <c r="A284" s="78"/>
    </row>
    <row r="285" spans="1:1" hidden="1">
      <c r="A285" s="78"/>
    </row>
    <row r="286" spans="1:1" hidden="1">
      <c r="A286" s="78"/>
    </row>
    <row r="287" spans="1:1" hidden="1">
      <c r="A287" s="78"/>
    </row>
    <row r="288" spans="1:1" hidden="1">
      <c r="A288" s="78"/>
    </row>
    <row r="289" spans="1:1" hidden="1">
      <c r="A289" s="78"/>
    </row>
    <row r="290" spans="1:1" hidden="1">
      <c r="A290" s="78"/>
    </row>
    <row r="291" spans="1:1" hidden="1">
      <c r="A291" s="78"/>
    </row>
    <row r="292" spans="1:1" hidden="1">
      <c r="A292" s="78"/>
    </row>
    <row r="293" spans="1:1" hidden="1">
      <c r="A293" s="78"/>
    </row>
    <row r="294" spans="1:1" hidden="1">
      <c r="A294" s="78"/>
    </row>
    <row r="295" spans="1:1" hidden="1">
      <c r="A295" s="78"/>
    </row>
    <row r="296" spans="1:1" hidden="1">
      <c r="A296" s="78"/>
    </row>
    <row r="297" spans="1:1" hidden="1">
      <c r="A297" s="78"/>
    </row>
    <row r="298" spans="1:1" hidden="1">
      <c r="A298" s="78"/>
    </row>
    <row r="299" spans="1:1" hidden="1">
      <c r="A299" s="78"/>
    </row>
    <row r="300" spans="1:1" hidden="1">
      <c r="A300" s="78"/>
    </row>
    <row r="301" spans="1:1" hidden="1">
      <c r="A301" s="78"/>
    </row>
    <row r="302" spans="1:1" hidden="1">
      <c r="A302" s="78"/>
    </row>
    <row r="303" spans="1:1" hidden="1">
      <c r="A303" s="78"/>
    </row>
    <row r="304" spans="1:1" hidden="1">
      <c r="A304" s="78"/>
    </row>
    <row r="305" spans="1:1" hidden="1">
      <c r="A305" s="78"/>
    </row>
    <row r="306" spans="1:1" hidden="1">
      <c r="A306" s="78"/>
    </row>
    <row r="307" spans="1:1" hidden="1">
      <c r="A307" s="78"/>
    </row>
    <row r="308" spans="1:1" hidden="1">
      <c r="A308" s="78"/>
    </row>
    <row r="309" spans="1:1" hidden="1">
      <c r="A309" s="78"/>
    </row>
    <row r="310" spans="1:1" hidden="1">
      <c r="A310" s="78"/>
    </row>
    <row r="311" spans="1:1" hidden="1">
      <c r="A311" s="78"/>
    </row>
    <row r="312" spans="1:1" hidden="1">
      <c r="A312" s="78"/>
    </row>
    <row r="313" spans="1:1" hidden="1">
      <c r="A313" s="78"/>
    </row>
    <row r="314" spans="1:1" hidden="1">
      <c r="A314" s="78"/>
    </row>
    <row r="315" spans="1:1" hidden="1">
      <c r="A315" s="78"/>
    </row>
    <row r="316" spans="1:1" hidden="1">
      <c r="A316" s="78"/>
    </row>
    <row r="317" spans="1:1" hidden="1">
      <c r="A317" s="78"/>
    </row>
    <row r="318" spans="1:1" hidden="1">
      <c r="A318" s="78"/>
    </row>
    <row r="319" spans="1:1" hidden="1">
      <c r="A319" s="78"/>
    </row>
    <row r="320" spans="1:1" hidden="1">
      <c r="A320" s="78"/>
    </row>
    <row r="321" spans="1:1" hidden="1">
      <c r="A321" s="78"/>
    </row>
    <row r="322" spans="1:1" hidden="1">
      <c r="A322" s="78"/>
    </row>
    <row r="323" spans="1:1" hidden="1">
      <c r="A323" s="78"/>
    </row>
    <row r="324" spans="1:1" hidden="1">
      <c r="A324" s="78"/>
    </row>
    <row r="325" spans="1:1" hidden="1">
      <c r="A325" s="78"/>
    </row>
    <row r="326" spans="1:1" hidden="1">
      <c r="A326" s="78"/>
    </row>
    <row r="327" spans="1:1" hidden="1">
      <c r="A327" s="78"/>
    </row>
    <row r="328" spans="1:1" hidden="1">
      <c r="A328" s="78"/>
    </row>
    <row r="329" spans="1:1" hidden="1">
      <c r="A329" s="78"/>
    </row>
    <row r="330" spans="1:1" hidden="1">
      <c r="A330" s="78"/>
    </row>
    <row r="331" spans="1:1" hidden="1">
      <c r="A331" s="78"/>
    </row>
    <row r="332" spans="1:1" hidden="1">
      <c r="A332" s="78"/>
    </row>
    <row r="333" spans="1:1" hidden="1">
      <c r="A333" s="78"/>
    </row>
    <row r="334" spans="1:1" hidden="1">
      <c r="A334" s="78"/>
    </row>
    <row r="335" spans="1:1" hidden="1">
      <c r="A335" s="78"/>
    </row>
    <row r="336" spans="1:1" hidden="1">
      <c r="A336" s="78"/>
    </row>
    <row r="337" spans="1:1" hidden="1">
      <c r="A337" s="78"/>
    </row>
    <row r="338" spans="1:1" hidden="1">
      <c r="A338" s="78"/>
    </row>
    <row r="339" spans="1:1" hidden="1">
      <c r="A339" s="78"/>
    </row>
    <row r="340" spans="1:1" hidden="1">
      <c r="A340" s="78"/>
    </row>
    <row r="341" spans="1:1" hidden="1">
      <c r="A341" s="78"/>
    </row>
    <row r="342" spans="1:1" hidden="1">
      <c r="A342" s="78"/>
    </row>
    <row r="343" spans="1:1" hidden="1">
      <c r="A343" s="78"/>
    </row>
    <row r="344" spans="1:1" hidden="1">
      <c r="A344" s="78"/>
    </row>
    <row r="345" spans="1:1" hidden="1">
      <c r="A345" s="78"/>
    </row>
    <row r="346" spans="1:1" hidden="1">
      <c r="A346" s="78"/>
    </row>
    <row r="347" spans="1:1" hidden="1">
      <c r="A347" s="78"/>
    </row>
    <row r="348" spans="1:1" hidden="1">
      <c r="A348" s="78"/>
    </row>
    <row r="349" spans="1:1" hidden="1">
      <c r="A349" s="78"/>
    </row>
    <row r="350" spans="1:1" hidden="1">
      <c r="A350" s="78"/>
    </row>
    <row r="351" spans="1:1" hidden="1">
      <c r="A351" s="78"/>
    </row>
    <row r="352" spans="1:1" hidden="1">
      <c r="A352" s="78"/>
    </row>
    <row r="353" spans="1:1" hidden="1">
      <c r="A353" s="78"/>
    </row>
    <row r="354" spans="1:1" hidden="1">
      <c r="A354" s="78"/>
    </row>
    <row r="355" spans="1:1" hidden="1">
      <c r="A355" s="78"/>
    </row>
    <row r="356" spans="1:1" hidden="1">
      <c r="A356" s="78"/>
    </row>
    <row r="357" spans="1:1" hidden="1">
      <c r="A357" s="78"/>
    </row>
    <row r="358" spans="1:1" hidden="1">
      <c r="A358" s="78"/>
    </row>
    <row r="359" spans="1:1" hidden="1">
      <c r="A359" s="78"/>
    </row>
    <row r="360" spans="1:1" hidden="1">
      <c r="A360" s="78"/>
    </row>
    <row r="361" spans="1:1" hidden="1">
      <c r="A361" s="78"/>
    </row>
    <row r="362" spans="1:1" hidden="1">
      <c r="A362" s="78"/>
    </row>
    <row r="363" spans="1:1" hidden="1">
      <c r="A363" s="78"/>
    </row>
    <row r="364" spans="1:1" hidden="1">
      <c r="A364" s="78"/>
    </row>
    <row r="365" spans="1:1" hidden="1">
      <c r="A365" s="78"/>
    </row>
    <row r="366" spans="1:1" hidden="1">
      <c r="A366" s="78"/>
    </row>
    <row r="367" spans="1:1" hidden="1">
      <c r="A367" s="78"/>
    </row>
    <row r="368" spans="1:1" hidden="1">
      <c r="A368" s="78"/>
    </row>
    <row r="369" spans="1:1" hidden="1">
      <c r="A369" s="78"/>
    </row>
    <row r="370" spans="1:1" hidden="1">
      <c r="A370" s="78"/>
    </row>
    <row r="371" spans="1:1" hidden="1">
      <c r="A371" s="78"/>
    </row>
    <row r="372" spans="1:1" hidden="1">
      <c r="A372" s="78"/>
    </row>
    <row r="373" spans="1:1" hidden="1">
      <c r="A373" s="78"/>
    </row>
    <row r="374" spans="1:1" hidden="1">
      <c r="A374" s="78"/>
    </row>
    <row r="375" spans="1:1" hidden="1">
      <c r="A375" s="78"/>
    </row>
    <row r="376" spans="1:1" hidden="1">
      <c r="A376" s="78"/>
    </row>
    <row r="377" spans="1:1" hidden="1">
      <c r="A377" s="78"/>
    </row>
    <row r="378" spans="1:1" hidden="1">
      <c r="A378" s="78"/>
    </row>
    <row r="379" spans="1:1" hidden="1">
      <c r="A379" s="78"/>
    </row>
    <row r="380" spans="1:1" hidden="1">
      <c r="A380" s="78"/>
    </row>
    <row r="381" spans="1:1" hidden="1">
      <c r="A381" s="78"/>
    </row>
    <row r="382" spans="1:1" hidden="1">
      <c r="A382" s="78"/>
    </row>
    <row r="383" spans="1:1" hidden="1">
      <c r="A383" s="78"/>
    </row>
    <row r="384" spans="1:1" hidden="1">
      <c r="A384" s="78"/>
    </row>
    <row r="385" spans="1:1" hidden="1">
      <c r="A385" s="78"/>
    </row>
    <row r="386" spans="1:1" hidden="1">
      <c r="A386" s="78"/>
    </row>
    <row r="387" spans="1:1" hidden="1">
      <c r="A387" s="78"/>
    </row>
    <row r="388" spans="1:1" hidden="1">
      <c r="A388" s="78"/>
    </row>
    <row r="389" spans="1:1" hidden="1">
      <c r="A389" s="78"/>
    </row>
    <row r="390" spans="1:1" hidden="1">
      <c r="A390" s="78"/>
    </row>
    <row r="391" spans="1:1" hidden="1">
      <c r="A391" s="78"/>
    </row>
    <row r="392" spans="1:1" hidden="1">
      <c r="A392" s="78"/>
    </row>
    <row r="393" spans="1:1" hidden="1">
      <c r="A393" s="78"/>
    </row>
    <row r="394" spans="1:1" hidden="1">
      <c r="A394" s="78"/>
    </row>
    <row r="395" spans="1:1" hidden="1">
      <c r="A395" s="78"/>
    </row>
    <row r="396" spans="1:1" hidden="1">
      <c r="A396" s="78"/>
    </row>
    <row r="397" spans="1:1" hidden="1">
      <c r="A397" s="78"/>
    </row>
    <row r="398" spans="1:1" hidden="1">
      <c r="A398" s="78"/>
    </row>
    <row r="399" spans="1:1" hidden="1">
      <c r="A399" s="78"/>
    </row>
    <row r="400" spans="1:1" hidden="1">
      <c r="A400" s="78"/>
    </row>
    <row r="401" spans="1:1" hidden="1">
      <c r="A401" s="78"/>
    </row>
    <row r="402" spans="1:1" hidden="1">
      <c r="A402" s="78"/>
    </row>
    <row r="403" spans="1:1" hidden="1">
      <c r="A403" s="78"/>
    </row>
    <row r="404" spans="1:1" hidden="1">
      <c r="A404" s="78"/>
    </row>
    <row r="405" spans="1:1" hidden="1">
      <c r="A405" s="78"/>
    </row>
    <row r="406" spans="1:1" hidden="1">
      <c r="A406" s="78"/>
    </row>
    <row r="407" spans="1:1" hidden="1">
      <c r="A407" s="78"/>
    </row>
    <row r="408" spans="1:1" hidden="1">
      <c r="A408" s="78"/>
    </row>
    <row r="409" spans="1:1" hidden="1">
      <c r="A409" s="78"/>
    </row>
    <row r="410" spans="1:1" hidden="1">
      <c r="A410" s="78"/>
    </row>
    <row r="411" spans="1:1" hidden="1">
      <c r="A411" s="78"/>
    </row>
    <row r="412" spans="1:1" hidden="1">
      <c r="A412" s="78"/>
    </row>
    <row r="413" spans="1:1" hidden="1">
      <c r="A413" s="78"/>
    </row>
    <row r="414" spans="1:1" hidden="1">
      <c r="A414" s="78"/>
    </row>
    <row r="415" spans="1:1" hidden="1">
      <c r="A415" s="78"/>
    </row>
    <row r="416" spans="1:1" hidden="1">
      <c r="A416" s="78"/>
    </row>
    <row r="417" spans="1:1" hidden="1">
      <c r="A417" s="78"/>
    </row>
    <row r="418" spans="1:1" hidden="1">
      <c r="A418" s="78"/>
    </row>
    <row r="419" spans="1:1" hidden="1">
      <c r="A419" s="78"/>
    </row>
    <row r="420" spans="1:1" hidden="1">
      <c r="A420" s="78"/>
    </row>
    <row r="421" spans="1:1" hidden="1">
      <c r="A421" s="78"/>
    </row>
    <row r="422" spans="1:1" hidden="1">
      <c r="A422" s="78"/>
    </row>
    <row r="423" spans="1:1" hidden="1">
      <c r="A423" s="78"/>
    </row>
    <row r="424" spans="1:1" hidden="1">
      <c r="A424" s="78"/>
    </row>
    <row r="425" spans="1:1" hidden="1">
      <c r="A425" s="78"/>
    </row>
    <row r="426" spans="1:1" hidden="1">
      <c r="A426" s="78"/>
    </row>
    <row r="427" spans="1:1" hidden="1">
      <c r="A427" s="78"/>
    </row>
    <row r="428" spans="1:1" hidden="1">
      <c r="A428" s="78"/>
    </row>
    <row r="429" spans="1:1" hidden="1">
      <c r="A429" s="78"/>
    </row>
    <row r="430" spans="1:1" hidden="1">
      <c r="A430" s="78"/>
    </row>
    <row r="431" spans="1:1" hidden="1">
      <c r="A431" s="78"/>
    </row>
    <row r="432" spans="1:1" hidden="1">
      <c r="A432" s="78"/>
    </row>
    <row r="433" spans="1:1" hidden="1">
      <c r="A433" s="78"/>
    </row>
    <row r="434" spans="1:1" hidden="1">
      <c r="A434" s="78"/>
    </row>
    <row r="435" spans="1:1" hidden="1">
      <c r="A435" s="78"/>
    </row>
    <row r="436" spans="1:1" hidden="1">
      <c r="A436" s="78"/>
    </row>
    <row r="437" spans="1:1" hidden="1">
      <c r="A437" s="78"/>
    </row>
    <row r="438" spans="1:1" hidden="1">
      <c r="A438" s="78"/>
    </row>
    <row r="439" spans="1:1" hidden="1">
      <c r="A439" s="78"/>
    </row>
    <row r="440" spans="1:1" hidden="1">
      <c r="A440" s="78"/>
    </row>
    <row r="441" spans="1:1" hidden="1">
      <c r="A441" s="78"/>
    </row>
    <row r="442" spans="1:1" hidden="1">
      <c r="A442" s="78"/>
    </row>
    <row r="443" spans="1:1" hidden="1">
      <c r="A443" s="78"/>
    </row>
    <row r="444" spans="1:1" hidden="1">
      <c r="A444" s="78"/>
    </row>
    <row r="445" spans="1:1" hidden="1">
      <c r="A445" s="78"/>
    </row>
    <row r="446" spans="1:1" hidden="1">
      <c r="A446" s="78"/>
    </row>
    <row r="447" spans="1:1" hidden="1">
      <c r="A447" s="78"/>
    </row>
    <row r="448" spans="1:1" hidden="1">
      <c r="A448" s="78"/>
    </row>
    <row r="449" spans="1:1" hidden="1">
      <c r="A449" s="78"/>
    </row>
    <row r="450" spans="1:1" hidden="1">
      <c r="A450" s="78"/>
    </row>
    <row r="451" spans="1:1" hidden="1">
      <c r="A451" s="78"/>
    </row>
    <row r="452" spans="1:1" hidden="1">
      <c r="A452" s="78"/>
    </row>
    <row r="453" spans="1:1" hidden="1">
      <c r="A453" s="78"/>
    </row>
    <row r="454" spans="1:1" hidden="1">
      <c r="A454" s="78"/>
    </row>
    <row r="455" spans="1:1" hidden="1">
      <c r="A455" s="78"/>
    </row>
    <row r="456" spans="1:1" hidden="1">
      <c r="A456" s="78"/>
    </row>
    <row r="457" spans="1:1" hidden="1">
      <c r="A457" s="78"/>
    </row>
    <row r="458" spans="1:1" hidden="1">
      <c r="A458" s="78"/>
    </row>
    <row r="459" spans="1:1" hidden="1">
      <c r="A459" s="78"/>
    </row>
    <row r="460" spans="1:1" hidden="1">
      <c r="A460" s="78"/>
    </row>
    <row r="461" spans="1:1" hidden="1">
      <c r="A461" s="78"/>
    </row>
    <row r="462" spans="1:1" hidden="1">
      <c r="A462" s="78"/>
    </row>
    <row r="463" spans="1:1" hidden="1">
      <c r="A463" s="78"/>
    </row>
    <row r="464" spans="1:1" hidden="1">
      <c r="A464" s="78"/>
    </row>
    <row r="465" spans="1:1" hidden="1">
      <c r="A465" s="78"/>
    </row>
    <row r="466" spans="1:1" hidden="1">
      <c r="A466" s="78"/>
    </row>
    <row r="467" spans="1:1" hidden="1">
      <c r="A467" s="78"/>
    </row>
    <row r="468" spans="1:1" hidden="1">
      <c r="A468" s="78"/>
    </row>
    <row r="469" spans="1:1" hidden="1">
      <c r="A469" s="78"/>
    </row>
    <row r="470" spans="1:1" hidden="1">
      <c r="A470" s="78"/>
    </row>
    <row r="471" spans="1:1" hidden="1">
      <c r="A471" s="78"/>
    </row>
    <row r="472" spans="1:1" hidden="1">
      <c r="A472" s="78"/>
    </row>
    <row r="473" spans="1:1" hidden="1">
      <c r="A473" s="78"/>
    </row>
    <row r="474" spans="1:1" hidden="1">
      <c r="A474" s="78"/>
    </row>
    <row r="475" spans="1:1" hidden="1">
      <c r="A475" s="78"/>
    </row>
    <row r="476" spans="1:1" hidden="1">
      <c r="A476" s="78"/>
    </row>
    <row r="477" spans="1:1" hidden="1">
      <c r="A477" s="78"/>
    </row>
    <row r="478" spans="1:1" hidden="1">
      <c r="A478" s="78"/>
    </row>
    <row r="479" spans="1:1" hidden="1">
      <c r="A479" s="78"/>
    </row>
    <row r="480" spans="1:1" hidden="1">
      <c r="A480" s="78"/>
    </row>
    <row r="481" spans="1:1" hidden="1">
      <c r="A481" s="78"/>
    </row>
    <row r="482" spans="1:1" hidden="1">
      <c r="A482" s="78"/>
    </row>
    <row r="483" spans="1:1" hidden="1">
      <c r="A483" s="78"/>
    </row>
    <row r="484" spans="1:1" hidden="1">
      <c r="A484" s="78"/>
    </row>
    <row r="485" spans="1:1" hidden="1">
      <c r="A485" s="78"/>
    </row>
    <row r="486" spans="1:1" hidden="1">
      <c r="A486" s="78"/>
    </row>
    <row r="487" spans="1:1" hidden="1">
      <c r="A487" s="78"/>
    </row>
    <row r="488" spans="1:1" hidden="1">
      <c r="A488" s="78"/>
    </row>
    <row r="489" spans="1:1" hidden="1">
      <c r="A489" s="78"/>
    </row>
    <row r="490" spans="1:1" hidden="1">
      <c r="A490" s="78"/>
    </row>
    <row r="491" spans="1:1" hidden="1">
      <c r="A491" s="78"/>
    </row>
    <row r="492" spans="1:1" hidden="1">
      <c r="A492" s="78"/>
    </row>
    <row r="493" spans="1:1" hidden="1">
      <c r="A493" s="78"/>
    </row>
    <row r="494" spans="1:1" hidden="1">
      <c r="A494" s="78"/>
    </row>
    <row r="495" spans="1:1" hidden="1">
      <c r="A495" s="78"/>
    </row>
    <row r="496" spans="1:1" hidden="1">
      <c r="A496" s="78"/>
    </row>
    <row r="497" spans="1:1" hidden="1">
      <c r="A497" s="78"/>
    </row>
    <row r="498" spans="1:1" hidden="1">
      <c r="A498" s="78"/>
    </row>
    <row r="499" spans="1:1" hidden="1">
      <c r="A499" s="78"/>
    </row>
    <row r="500" spans="1:1" hidden="1">
      <c r="A500" s="78"/>
    </row>
    <row r="501" spans="1:1" hidden="1">
      <c r="A501" s="78"/>
    </row>
    <row r="502" spans="1:1" hidden="1">
      <c r="A502" s="78"/>
    </row>
    <row r="503" spans="1:1" hidden="1">
      <c r="A503" s="78"/>
    </row>
    <row r="504" spans="1:1" hidden="1">
      <c r="A504" s="78"/>
    </row>
    <row r="505" spans="1:1" hidden="1">
      <c r="A505" s="78"/>
    </row>
    <row r="506" spans="1:1" hidden="1">
      <c r="A506" s="78"/>
    </row>
    <row r="507" spans="1:1" hidden="1">
      <c r="A507" s="78"/>
    </row>
    <row r="508" spans="1:1" hidden="1">
      <c r="A508" s="78"/>
    </row>
    <row r="509" spans="1:1" hidden="1">
      <c r="A509" s="78"/>
    </row>
    <row r="510" spans="1:1" hidden="1">
      <c r="A510" s="78"/>
    </row>
    <row r="511" spans="1:1" hidden="1">
      <c r="A511" s="78"/>
    </row>
    <row r="512" spans="1:1" hidden="1">
      <c r="A512" s="78"/>
    </row>
    <row r="513" spans="1:1" hidden="1">
      <c r="A513" s="78"/>
    </row>
    <row r="514" spans="1:1" hidden="1">
      <c r="A514" s="78"/>
    </row>
    <row r="515" spans="1:1" hidden="1">
      <c r="A515" s="78"/>
    </row>
    <row r="516" spans="1:1" hidden="1">
      <c r="A516" s="78"/>
    </row>
    <row r="517" spans="1:1" hidden="1">
      <c r="A517" s="78"/>
    </row>
    <row r="518" spans="1:1" hidden="1">
      <c r="A518" s="78"/>
    </row>
    <row r="519" spans="1:1" hidden="1">
      <c r="A519" s="78"/>
    </row>
    <row r="520" spans="1:1" hidden="1">
      <c r="A520" s="78"/>
    </row>
    <row r="521" spans="1:1" hidden="1">
      <c r="A521" s="78"/>
    </row>
    <row r="522" spans="1:1" hidden="1">
      <c r="A522" s="78"/>
    </row>
    <row r="523" spans="1:1" hidden="1">
      <c r="A523" s="78"/>
    </row>
    <row r="524" spans="1:1" hidden="1">
      <c r="A524" s="78"/>
    </row>
    <row r="525" spans="1:1" hidden="1">
      <c r="A525" s="78"/>
    </row>
    <row r="526" spans="1:1" hidden="1">
      <c r="A526" s="78"/>
    </row>
    <row r="527" spans="1:1" hidden="1">
      <c r="A527" s="78"/>
    </row>
    <row r="528" spans="1:1" hidden="1">
      <c r="A528" s="78"/>
    </row>
    <row r="529" spans="1:1" hidden="1">
      <c r="A529" s="78"/>
    </row>
    <row r="530" spans="1:1" hidden="1">
      <c r="A530" s="78"/>
    </row>
    <row r="531" spans="1:1" hidden="1">
      <c r="A531" s="78"/>
    </row>
    <row r="532" spans="1:1" hidden="1">
      <c r="A532" s="78"/>
    </row>
    <row r="533" spans="1:1" hidden="1">
      <c r="A533" s="78"/>
    </row>
    <row r="534" spans="1:1" hidden="1">
      <c r="A534" s="78"/>
    </row>
    <row r="535" spans="1:1" hidden="1">
      <c r="A535" s="78"/>
    </row>
    <row r="536" spans="1:1" hidden="1">
      <c r="A536" s="78"/>
    </row>
    <row r="537" spans="1:1" hidden="1">
      <c r="A537" s="78"/>
    </row>
    <row r="538" spans="1:1" hidden="1">
      <c r="A538" s="78"/>
    </row>
    <row r="539" spans="1:1" hidden="1">
      <c r="A539" s="78"/>
    </row>
    <row r="540" spans="1:1" hidden="1">
      <c r="A540" s="78"/>
    </row>
    <row r="541" spans="1:1" hidden="1">
      <c r="A541" s="78"/>
    </row>
    <row r="542" spans="1:1" hidden="1">
      <c r="A542" s="78"/>
    </row>
    <row r="543" spans="1:1" hidden="1">
      <c r="A543" s="78"/>
    </row>
    <row r="544" spans="1:1" hidden="1">
      <c r="A544" s="78"/>
    </row>
    <row r="545" spans="1:1" hidden="1">
      <c r="A545" s="78"/>
    </row>
    <row r="546" spans="1:1" hidden="1">
      <c r="A546" s="78"/>
    </row>
    <row r="547" spans="1:1" hidden="1">
      <c r="A547" s="78"/>
    </row>
    <row r="548" spans="1:1" hidden="1">
      <c r="A548" s="78"/>
    </row>
    <row r="549" spans="1:1" hidden="1">
      <c r="A549" s="78"/>
    </row>
    <row r="550" spans="1:1" hidden="1">
      <c r="A550" s="78"/>
    </row>
    <row r="551" spans="1:1" hidden="1">
      <c r="A551" s="78"/>
    </row>
    <row r="552" spans="1:1" hidden="1">
      <c r="A552" s="78"/>
    </row>
    <row r="553" spans="1:1" hidden="1">
      <c r="A553" s="78"/>
    </row>
    <row r="554" spans="1:1" hidden="1">
      <c r="A554" s="78"/>
    </row>
    <row r="555" spans="1:1" hidden="1">
      <c r="A555" s="78"/>
    </row>
    <row r="556" spans="1:1" hidden="1">
      <c r="A556" s="78"/>
    </row>
    <row r="557" spans="1:1" hidden="1">
      <c r="A557" s="78"/>
    </row>
    <row r="558" spans="1:1" hidden="1">
      <c r="A558" s="78"/>
    </row>
    <row r="559" spans="1:1" hidden="1">
      <c r="A559" s="78"/>
    </row>
    <row r="560" spans="1:1" hidden="1">
      <c r="A560" s="78"/>
    </row>
    <row r="561" spans="1:1" hidden="1">
      <c r="A561" s="78"/>
    </row>
    <row r="562" spans="1:1" hidden="1">
      <c r="A562" s="78"/>
    </row>
    <row r="563" spans="1:1" hidden="1">
      <c r="A563" s="78"/>
    </row>
    <row r="564" spans="1:1" hidden="1">
      <c r="A564" s="78"/>
    </row>
    <row r="565" spans="1:1" hidden="1">
      <c r="A565" s="78"/>
    </row>
    <row r="566" spans="1:1" hidden="1">
      <c r="A566" s="78"/>
    </row>
    <row r="567" spans="1:1" hidden="1">
      <c r="A567" s="78"/>
    </row>
    <row r="568" spans="1:1" hidden="1">
      <c r="A568" s="78"/>
    </row>
    <row r="569" spans="1:1" hidden="1">
      <c r="A569" s="78"/>
    </row>
    <row r="570" spans="1:1" hidden="1">
      <c r="A570" s="78"/>
    </row>
    <row r="571" spans="1:1" hidden="1">
      <c r="A571" s="78"/>
    </row>
    <row r="572" spans="1:1" hidden="1">
      <c r="A572" s="78"/>
    </row>
    <row r="573" spans="1:1" hidden="1">
      <c r="A573" s="78"/>
    </row>
    <row r="574" spans="1:1" hidden="1">
      <c r="A574" s="78"/>
    </row>
    <row r="575" spans="1:1" hidden="1">
      <c r="A575" s="78"/>
    </row>
    <row r="576" spans="1:1" hidden="1">
      <c r="A576" s="78"/>
    </row>
    <row r="577" spans="1:1" hidden="1">
      <c r="A577" s="78"/>
    </row>
    <row r="578" spans="1:1" hidden="1">
      <c r="A578" s="78"/>
    </row>
    <row r="579" spans="1:1" hidden="1">
      <c r="A579" s="78"/>
    </row>
    <row r="580" spans="1:1" hidden="1">
      <c r="A580" s="78"/>
    </row>
    <row r="581" spans="1:1" hidden="1">
      <c r="A581" s="78"/>
    </row>
    <row r="582" spans="1:1" hidden="1">
      <c r="A582" s="78"/>
    </row>
    <row r="583" spans="1:1" hidden="1">
      <c r="A583" s="78"/>
    </row>
    <row r="584" spans="1:1" hidden="1">
      <c r="A584" s="78"/>
    </row>
    <row r="585" spans="1:1" hidden="1">
      <c r="A585" s="78"/>
    </row>
    <row r="586" spans="1:1" hidden="1">
      <c r="A586" s="78"/>
    </row>
    <row r="587" spans="1:1" hidden="1">
      <c r="A587" s="78"/>
    </row>
    <row r="588" spans="1:1" hidden="1">
      <c r="A588" s="78"/>
    </row>
    <row r="589" spans="1:1" hidden="1">
      <c r="A589" s="78"/>
    </row>
    <row r="590" spans="1:1" hidden="1">
      <c r="A590" s="78"/>
    </row>
    <row r="591" spans="1:1" hidden="1">
      <c r="A591" s="78"/>
    </row>
    <row r="592" spans="1:1" hidden="1">
      <c r="A592" s="78"/>
    </row>
    <row r="593" spans="1:1" hidden="1">
      <c r="A593" s="78"/>
    </row>
    <row r="594" spans="1:1" hidden="1">
      <c r="A594" s="78"/>
    </row>
    <row r="595" spans="1:1" hidden="1">
      <c r="A595" s="78"/>
    </row>
    <row r="596" spans="1:1" hidden="1">
      <c r="A596" s="78"/>
    </row>
    <row r="597" spans="1:1" hidden="1">
      <c r="A597" s="78"/>
    </row>
    <row r="598" spans="1:1" hidden="1">
      <c r="A598" s="78"/>
    </row>
    <row r="599" spans="1:1" hidden="1">
      <c r="A599" s="78"/>
    </row>
    <row r="600" spans="1:1" hidden="1">
      <c r="A600" s="78"/>
    </row>
    <row r="601" spans="1:1" hidden="1">
      <c r="A601" s="78"/>
    </row>
    <row r="602" spans="1:1" hidden="1">
      <c r="A602" s="78"/>
    </row>
    <row r="603" spans="1:1" hidden="1">
      <c r="A603" s="78"/>
    </row>
    <row r="604" spans="1:1" hidden="1">
      <c r="A604" s="78"/>
    </row>
    <row r="605" spans="1:1" hidden="1">
      <c r="A605" s="78"/>
    </row>
    <row r="606" spans="1:1" hidden="1">
      <c r="A606" s="78"/>
    </row>
    <row r="607" spans="1:1" hidden="1">
      <c r="A607" s="78"/>
    </row>
    <row r="608" spans="1:1" hidden="1">
      <c r="A608" s="78"/>
    </row>
    <row r="609" spans="1:1" hidden="1">
      <c r="A609" s="78"/>
    </row>
    <row r="610" spans="1:1" hidden="1">
      <c r="A610" s="78"/>
    </row>
    <row r="611" spans="1:1" hidden="1">
      <c r="A611" s="78"/>
    </row>
    <row r="612" spans="1:1" hidden="1">
      <c r="A612" s="78"/>
    </row>
    <row r="613" spans="1:1" hidden="1">
      <c r="A613" s="78"/>
    </row>
    <row r="614" spans="1:1" hidden="1">
      <c r="A614" s="78"/>
    </row>
    <row r="615" spans="1:1" hidden="1">
      <c r="A615" s="78"/>
    </row>
    <row r="616" spans="1:1" hidden="1">
      <c r="A616" s="78"/>
    </row>
    <row r="617" spans="1:1" hidden="1">
      <c r="A617" s="78"/>
    </row>
    <row r="618" spans="1:1" hidden="1">
      <c r="A618" s="78"/>
    </row>
    <row r="619" spans="1:1" hidden="1">
      <c r="A619" s="78"/>
    </row>
    <row r="620" spans="1:1" hidden="1">
      <c r="A620" s="78"/>
    </row>
    <row r="621" spans="1:1" hidden="1">
      <c r="A621" s="78"/>
    </row>
    <row r="622" spans="1:1" hidden="1">
      <c r="A622" s="78"/>
    </row>
    <row r="623" spans="1:1" hidden="1">
      <c r="A623" s="78"/>
    </row>
    <row r="624" spans="1:1" hidden="1">
      <c r="A624" s="78"/>
    </row>
    <row r="625" spans="1:1" hidden="1">
      <c r="A625" s="78"/>
    </row>
    <row r="626" spans="1:1" hidden="1">
      <c r="A626" s="78"/>
    </row>
    <row r="627" spans="1:1" hidden="1">
      <c r="A627" s="78"/>
    </row>
    <row r="628" spans="1:1" hidden="1">
      <c r="A628" s="78"/>
    </row>
    <row r="629" spans="1:1" hidden="1">
      <c r="A629" s="78"/>
    </row>
    <row r="630" spans="1:1" hidden="1">
      <c r="A630" s="78"/>
    </row>
    <row r="631" spans="1:1" hidden="1">
      <c r="A631" s="78"/>
    </row>
    <row r="632" spans="1:1" hidden="1">
      <c r="A632" s="78"/>
    </row>
    <row r="633" spans="1:1" hidden="1">
      <c r="A633" s="78"/>
    </row>
    <row r="634" spans="1:1" hidden="1">
      <c r="A634" s="78"/>
    </row>
    <row r="635" spans="1:1" hidden="1">
      <c r="A635" s="78"/>
    </row>
    <row r="636" spans="1:1" hidden="1">
      <c r="A636" s="78"/>
    </row>
    <row r="637" spans="1:1" hidden="1">
      <c r="A637" s="78"/>
    </row>
    <row r="638" spans="1:1" hidden="1">
      <c r="A638" s="78"/>
    </row>
    <row r="639" spans="1:1" hidden="1">
      <c r="A639" s="78"/>
    </row>
    <row r="640" spans="1:1" hidden="1">
      <c r="A640" s="78"/>
    </row>
    <row r="641" spans="1:1" hidden="1">
      <c r="A641" s="78"/>
    </row>
    <row r="642" spans="1:1" hidden="1">
      <c r="A642" s="78"/>
    </row>
    <row r="643" spans="1:1" hidden="1">
      <c r="A643" s="78"/>
    </row>
    <row r="644" spans="1:1" hidden="1">
      <c r="A644" s="78"/>
    </row>
    <row r="645" spans="1:1" hidden="1">
      <c r="A645" s="78"/>
    </row>
    <row r="646" spans="1:1" hidden="1">
      <c r="A646" s="78"/>
    </row>
    <row r="647" spans="1:1" hidden="1">
      <c r="A647" s="78"/>
    </row>
    <row r="648" spans="1:1" hidden="1">
      <c r="A648" s="78"/>
    </row>
    <row r="649" spans="1:1" hidden="1">
      <c r="A649" s="78"/>
    </row>
    <row r="650" spans="1:1" hidden="1">
      <c r="A650" s="78"/>
    </row>
    <row r="651" spans="1:1" hidden="1">
      <c r="A651" s="78"/>
    </row>
    <row r="652" spans="1:1" hidden="1">
      <c r="A652" s="78"/>
    </row>
    <row r="653" spans="1:1" hidden="1">
      <c r="A653" s="78"/>
    </row>
    <row r="654" spans="1:1" hidden="1">
      <c r="A654" s="78"/>
    </row>
    <row r="655" spans="1:1" hidden="1">
      <c r="A655" s="78"/>
    </row>
    <row r="656" spans="1:1" hidden="1">
      <c r="A656" s="78"/>
    </row>
    <row r="657" spans="1:1" hidden="1">
      <c r="A657" s="78"/>
    </row>
    <row r="658" spans="1:1" hidden="1">
      <c r="A658" s="78"/>
    </row>
    <row r="659" spans="1:1" hidden="1">
      <c r="A659" s="78"/>
    </row>
    <row r="660" spans="1:1" hidden="1">
      <c r="A660" s="78"/>
    </row>
    <row r="661" spans="1:1" hidden="1">
      <c r="A661" s="78"/>
    </row>
    <row r="662" spans="1:1" hidden="1">
      <c r="A662" s="78"/>
    </row>
    <row r="663" spans="1:1" hidden="1">
      <c r="A663" s="78"/>
    </row>
    <row r="664" spans="1:1" hidden="1">
      <c r="A664" s="78"/>
    </row>
    <row r="665" spans="1:1" hidden="1">
      <c r="A665" s="78"/>
    </row>
    <row r="666" spans="1:1" hidden="1">
      <c r="A666" s="78"/>
    </row>
    <row r="667" spans="1:1" hidden="1">
      <c r="A667" s="78"/>
    </row>
    <row r="668" spans="1:1" hidden="1">
      <c r="A668" s="78"/>
    </row>
    <row r="669" spans="1:1" hidden="1">
      <c r="A669" s="78"/>
    </row>
    <row r="670" spans="1:1" hidden="1">
      <c r="A670" s="78"/>
    </row>
    <row r="671" spans="1:1" hidden="1">
      <c r="A671" s="78"/>
    </row>
    <row r="672" spans="1:1" hidden="1">
      <c r="A672" s="78"/>
    </row>
    <row r="673" spans="1:1" hidden="1">
      <c r="A673" s="78"/>
    </row>
    <row r="674" spans="1:1" hidden="1">
      <c r="A674" s="78"/>
    </row>
    <row r="675" spans="1:1" hidden="1">
      <c r="A675" s="78"/>
    </row>
    <row r="676" spans="1:1" hidden="1">
      <c r="A676" s="78"/>
    </row>
    <row r="677" spans="1:1" hidden="1">
      <c r="A677" s="78"/>
    </row>
    <row r="678" spans="1:1" hidden="1">
      <c r="A678" s="78"/>
    </row>
    <row r="679" spans="1:1" hidden="1">
      <c r="A679" s="78"/>
    </row>
    <row r="680" spans="1:1" hidden="1">
      <c r="A680" s="78"/>
    </row>
    <row r="681" spans="1:1" hidden="1">
      <c r="A681" s="78"/>
    </row>
    <row r="682" spans="1:1" hidden="1">
      <c r="A682" s="78"/>
    </row>
    <row r="683" spans="1:1" hidden="1">
      <c r="A683" s="78"/>
    </row>
    <row r="684" spans="1:1" hidden="1">
      <c r="A684" s="78"/>
    </row>
    <row r="685" spans="1:1" hidden="1">
      <c r="A685" s="78"/>
    </row>
    <row r="686" spans="1:1" hidden="1">
      <c r="A686" s="78"/>
    </row>
    <row r="687" spans="1:1" hidden="1">
      <c r="A687" s="78"/>
    </row>
    <row r="688" spans="1:1" hidden="1">
      <c r="A688" s="78"/>
    </row>
    <row r="689" spans="1:1" hidden="1">
      <c r="A689" s="78"/>
    </row>
    <row r="690" spans="1:1" hidden="1">
      <c r="A690" s="78"/>
    </row>
    <row r="691" spans="1:1" hidden="1">
      <c r="A691" s="78"/>
    </row>
    <row r="692" spans="1:1" hidden="1">
      <c r="A692" s="78"/>
    </row>
    <row r="693" spans="1:1" hidden="1">
      <c r="A693" s="78"/>
    </row>
    <row r="694" spans="1:1" hidden="1">
      <c r="A694" s="78"/>
    </row>
    <row r="695" spans="1:1" hidden="1">
      <c r="A695" s="78"/>
    </row>
    <row r="696" spans="1:1" hidden="1">
      <c r="A696" s="78"/>
    </row>
    <row r="697" spans="1:1" hidden="1">
      <c r="A697" s="78"/>
    </row>
    <row r="698" spans="1:1" hidden="1">
      <c r="A698" s="78"/>
    </row>
    <row r="699" spans="1:1" hidden="1">
      <c r="A699" s="78"/>
    </row>
    <row r="700" spans="1:1" hidden="1">
      <c r="A700" s="78"/>
    </row>
    <row r="701" spans="1:1" hidden="1">
      <c r="A701" s="78"/>
    </row>
    <row r="702" spans="1:1" hidden="1">
      <c r="A702" s="78"/>
    </row>
    <row r="703" spans="1:1" hidden="1">
      <c r="A703" s="78"/>
    </row>
    <row r="704" spans="1:1" hidden="1">
      <c r="A704" s="78"/>
    </row>
    <row r="705" spans="1:1" hidden="1">
      <c r="A705" s="78"/>
    </row>
    <row r="706" spans="1:1" hidden="1">
      <c r="A706" s="78"/>
    </row>
    <row r="707" spans="1:1" hidden="1">
      <c r="A707" s="78"/>
    </row>
    <row r="708" spans="1:1" hidden="1">
      <c r="A708" s="78"/>
    </row>
    <row r="709" spans="1:1" hidden="1">
      <c r="A709" s="78"/>
    </row>
    <row r="710" spans="1:1" hidden="1">
      <c r="A710" s="78"/>
    </row>
    <row r="711" spans="1:1" hidden="1">
      <c r="A711" s="78"/>
    </row>
    <row r="712" spans="1:1" hidden="1">
      <c r="A712" s="78"/>
    </row>
    <row r="713" spans="1:1" hidden="1">
      <c r="A713" s="78"/>
    </row>
    <row r="714" spans="1:1" hidden="1">
      <c r="A714" s="78"/>
    </row>
    <row r="715" spans="1:1" hidden="1">
      <c r="A715" s="78"/>
    </row>
    <row r="716" spans="1:1" hidden="1">
      <c r="A716" s="78"/>
    </row>
    <row r="717" spans="1:1" hidden="1">
      <c r="A717" s="78"/>
    </row>
    <row r="718" spans="1:1" hidden="1">
      <c r="A718" s="78"/>
    </row>
    <row r="719" spans="1:1" hidden="1">
      <c r="A719" s="78"/>
    </row>
    <row r="720" spans="1:1" hidden="1">
      <c r="A720" s="78"/>
    </row>
    <row r="721" spans="1:1" hidden="1">
      <c r="A721" s="78"/>
    </row>
    <row r="722" spans="1:1" hidden="1">
      <c r="A722" s="78"/>
    </row>
    <row r="723" spans="1:1" hidden="1">
      <c r="A723" s="78"/>
    </row>
    <row r="724" spans="1:1" hidden="1">
      <c r="A724" s="78"/>
    </row>
    <row r="725" spans="1:1" hidden="1">
      <c r="A725" s="78"/>
    </row>
    <row r="726" spans="1:1" hidden="1">
      <c r="A726" s="78"/>
    </row>
    <row r="727" spans="1:1" hidden="1">
      <c r="A727" s="78"/>
    </row>
    <row r="728" spans="1:1" hidden="1">
      <c r="A728" s="78"/>
    </row>
    <row r="729" spans="1:1" hidden="1">
      <c r="A729" s="78"/>
    </row>
    <row r="730" spans="1:1" hidden="1">
      <c r="A730" s="78"/>
    </row>
    <row r="731" spans="1:1" hidden="1">
      <c r="A731" s="78"/>
    </row>
    <row r="732" spans="1:1" hidden="1">
      <c r="A732" s="78"/>
    </row>
    <row r="733" spans="1:1" hidden="1">
      <c r="A733" s="78"/>
    </row>
    <row r="734" spans="1:1" hidden="1">
      <c r="A734" s="78"/>
    </row>
    <row r="735" spans="1:1" hidden="1">
      <c r="A735" s="78"/>
    </row>
    <row r="736" spans="1:1" hidden="1">
      <c r="A736" s="78"/>
    </row>
    <row r="737" spans="1:1" hidden="1">
      <c r="A737" s="78"/>
    </row>
    <row r="738" spans="1:1" hidden="1">
      <c r="A738" s="78"/>
    </row>
    <row r="739" spans="1:1" hidden="1">
      <c r="A739" s="78"/>
    </row>
    <row r="740" spans="1:1" hidden="1">
      <c r="A740" s="78"/>
    </row>
    <row r="741" spans="1:1" hidden="1">
      <c r="A741" s="78"/>
    </row>
    <row r="742" spans="1:1" hidden="1">
      <c r="A742" s="78"/>
    </row>
    <row r="743" spans="1:1" hidden="1">
      <c r="A743" s="78"/>
    </row>
    <row r="744" spans="1:1" hidden="1">
      <c r="A744" s="78"/>
    </row>
    <row r="745" spans="1:1" hidden="1">
      <c r="A745" s="78"/>
    </row>
    <row r="746" spans="1:1" hidden="1">
      <c r="A746" s="78"/>
    </row>
    <row r="747" spans="1:1" hidden="1">
      <c r="A747" s="78"/>
    </row>
    <row r="748" spans="1:1" hidden="1">
      <c r="A748" s="78"/>
    </row>
    <row r="749" spans="1:1" hidden="1">
      <c r="A749" s="78"/>
    </row>
    <row r="750" spans="1:1" hidden="1">
      <c r="A750" s="78"/>
    </row>
    <row r="751" spans="1:1" hidden="1">
      <c r="A751" s="78"/>
    </row>
    <row r="752" spans="1:1" hidden="1">
      <c r="A752" s="78"/>
    </row>
    <row r="753" spans="1:1" hidden="1">
      <c r="A753" s="78"/>
    </row>
    <row r="754" spans="1:1" hidden="1">
      <c r="A754" s="78"/>
    </row>
    <row r="755" spans="1:1" hidden="1">
      <c r="A755" s="78"/>
    </row>
    <row r="756" spans="1:1" hidden="1">
      <c r="A756" s="78"/>
    </row>
    <row r="757" spans="1:1" hidden="1">
      <c r="A757" s="78"/>
    </row>
    <row r="758" spans="1:1" hidden="1">
      <c r="A758" s="78"/>
    </row>
    <row r="759" spans="1:1" hidden="1">
      <c r="A759" s="78"/>
    </row>
    <row r="760" spans="1:1" hidden="1">
      <c r="A760" s="78"/>
    </row>
    <row r="761" spans="1:1" hidden="1">
      <c r="A761" s="78"/>
    </row>
    <row r="762" spans="1:1" hidden="1">
      <c r="A762" s="78"/>
    </row>
    <row r="763" spans="1:1" hidden="1">
      <c r="A763" s="78"/>
    </row>
    <row r="764" spans="1:1" hidden="1">
      <c r="A764" s="78"/>
    </row>
    <row r="765" spans="1:1" hidden="1">
      <c r="A765" s="78"/>
    </row>
    <row r="766" spans="1:1" hidden="1">
      <c r="A766" s="78"/>
    </row>
    <row r="767" spans="1:1" hidden="1">
      <c r="A767" s="78"/>
    </row>
    <row r="768" spans="1:1" hidden="1">
      <c r="A768" s="78"/>
    </row>
    <row r="769" spans="1:1" hidden="1">
      <c r="A769" s="78"/>
    </row>
    <row r="770" spans="1:1" hidden="1">
      <c r="A770" s="78"/>
    </row>
    <row r="771" spans="1:1" hidden="1">
      <c r="A771" s="78"/>
    </row>
    <row r="772" spans="1:1" hidden="1">
      <c r="A772" s="78"/>
    </row>
    <row r="773" spans="1:1" hidden="1">
      <c r="A773" s="78"/>
    </row>
    <row r="774" spans="1:1" hidden="1">
      <c r="A774" s="78"/>
    </row>
    <row r="775" spans="1:1" hidden="1">
      <c r="A775" s="78"/>
    </row>
    <row r="776" spans="1:1" hidden="1">
      <c r="A776" s="78"/>
    </row>
    <row r="777" spans="1:1" hidden="1">
      <c r="A777" s="78"/>
    </row>
    <row r="778" spans="1:1" hidden="1">
      <c r="A778" s="78"/>
    </row>
    <row r="779" spans="1:1" hidden="1">
      <c r="A779" s="78"/>
    </row>
    <row r="780" spans="1:1" hidden="1">
      <c r="A780" s="78"/>
    </row>
    <row r="781" spans="1:1" hidden="1">
      <c r="A781" s="78"/>
    </row>
    <row r="782" spans="1:1" hidden="1">
      <c r="A782" s="78"/>
    </row>
    <row r="783" spans="1:1" hidden="1">
      <c r="A783" s="78"/>
    </row>
    <row r="784" spans="1:1" hidden="1">
      <c r="A784" s="78"/>
    </row>
    <row r="785" spans="1:1" hidden="1">
      <c r="A785" s="78"/>
    </row>
    <row r="786" spans="1:1" hidden="1">
      <c r="A786" s="78"/>
    </row>
    <row r="787" spans="1:1" hidden="1">
      <c r="A787" s="78"/>
    </row>
    <row r="788" spans="1:1" hidden="1">
      <c r="A788" s="78"/>
    </row>
    <row r="789" spans="1:1" hidden="1">
      <c r="A789" s="78"/>
    </row>
    <row r="790" spans="1:1" hidden="1">
      <c r="A790" s="78"/>
    </row>
    <row r="791" spans="1:1" hidden="1">
      <c r="A791" s="78"/>
    </row>
    <row r="792" spans="1:1" hidden="1">
      <c r="A792" s="78"/>
    </row>
    <row r="793" spans="1:1" hidden="1">
      <c r="A793" s="78"/>
    </row>
    <row r="794" spans="1:1" hidden="1">
      <c r="A794" s="78"/>
    </row>
    <row r="795" spans="1:1" hidden="1">
      <c r="A795" s="78"/>
    </row>
    <row r="796" spans="1:1" hidden="1">
      <c r="A796" s="78"/>
    </row>
    <row r="797" spans="1:1" hidden="1">
      <c r="A797" s="78"/>
    </row>
    <row r="798" spans="1:1" hidden="1">
      <c r="A798" s="78"/>
    </row>
    <row r="799" spans="1:1" hidden="1">
      <c r="A799" s="78"/>
    </row>
    <row r="800" spans="1:1" hidden="1">
      <c r="A800" s="78"/>
    </row>
    <row r="801" spans="1:1" hidden="1">
      <c r="A801" s="78"/>
    </row>
    <row r="802" spans="1:1" hidden="1">
      <c r="A802" s="78"/>
    </row>
    <row r="803" spans="1:1" hidden="1">
      <c r="A803" s="78"/>
    </row>
    <row r="804" spans="1:1" hidden="1">
      <c r="A804" s="78"/>
    </row>
    <row r="805" spans="1:1" hidden="1">
      <c r="A805" s="78"/>
    </row>
    <row r="806" spans="1:1" hidden="1">
      <c r="A806" s="78"/>
    </row>
    <row r="807" spans="1:1" hidden="1">
      <c r="A807" s="78"/>
    </row>
    <row r="808" spans="1:1" hidden="1">
      <c r="A808" s="78"/>
    </row>
    <row r="809" spans="1:1" hidden="1">
      <c r="A809" s="78"/>
    </row>
    <row r="810" spans="1:1" hidden="1">
      <c r="A810" s="78"/>
    </row>
    <row r="811" spans="1:1" hidden="1">
      <c r="A811" s="78"/>
    </row>
    <row r="812" spans="1:1" hidden="1">
      <c r="A812" s="78"/>
    </row>
    <row r="813" spans="1:1" hidden="1">
      <c r="A813" s="78"/>
    </row>
    <row r="814" spans="1:1" hidden="1">
      <c r="A814" s="78"/>
    </row>
    <row r="815" spans="1:1" hidden="1">
      <c r="A815" s="78"/>
    </row>
    <row r="816" spans="1:1" hidden="1">
      <c r="A816" s="78"/>
    </row>
    <row r="817" spans="1:1" hidden="1">
      <c r="A817" s="78"/>
    </row>
    <row r="818" spans="1:1" hidden="1">
      <c r="A818" s="78"/>
    </row>
    <row r="819" spans="1:1" hidden="1">
      <c r="A819" s="78"/>
    </row>
    <row r="820" spans="1:1" hidden="1">
      <c r="A820" s="78"/>
    </row>
    <row r="821" spans="1:1" hidden="1">
      <c r="A821" s="78"/>
    </row>
    <row r="822" spans="1:1" hidden="1">
      <c r="A822" s="78"/>
    </row>
    <row r="823" spans="1:1" hidden="1">
      <c r="A823" s="78"/>
    </row>
    <row r="824" spans="1:1" hidden="1">
      <c r="A824" s="78"/>
    </row>
    <row r="825" spans="1:1" hidden="1">
      <c r="A825" s="78"/>
    </row>
    <row r="826" spans="1:1" hidden="1">
      <c r="A826" s="78"/>
    </row>
    <row r="827" spans="1:1" hidden="1">
      <c r="A827" s="78"/>
    </row>
    <row r="828" spans="1:1" hidden="1">
      <c r="A828" s="78"/>
    </row>
    <row r="829" spans="1:1" hidden="1">
      <c r="A829" s="78"/>
    </row>
    <row r="830" spans="1:1" hidden="1">
      <c r="A830" s="78"/>
    </row>
    <row r="831" spans="1:1" hidden="1">
      <c r="A831" s="78"/>
    </row>
    <row r="832" spans="1:1" hidden="1">
      <c r="A832" s="78"/>
    </row>
    <row r="833" spans="1:1" hidden="1">
      <c r="A833" s="78"/>
    </row>
    <row r="834" spans="1:1" hidden="1">
      <c r="A834" s="78"/>
    </row>
    <row r="835" spans="1:1" hidden="1">
      <c r="A835" s="78"/>
    </row>
    <row r="836" spans="1:1" hidden="1">
      <c r="A836" s="78"/>
    </row>
    <row r="837" spans="1:1" hidden="1">
      <c r="A837" s="78"/>
    </row>
    <row r="838" spans="1:1" hidden="1">
      <c r="A838" s="78"/>
    </row>
    <row r="839" spans="1:1" hidden="1">
      <c r="A839" s="78"/>
    </row>
    <row r="840" spans="1:1" hidden="1">
      <c r="A840" s="78"/>
    </row>
    <row r="841" spans="1:1" hidden="1">
      <c r="A841" s="78"/>
    </row>
    <row r="842" spans="1:1" hidden="1">
      <c r="A842" s="78"/>
    </row>
    <row r="843" spans="1:1" hidden="1">
      <c r="A843" s="78"/>
    </row>
    <row r="844" spans="1:1" hidden="1">
      <c r="A844" s="78"/>
    </row>
    <row r="845" spans="1:1" hidden="1">
      <c r="A845" s="78"/>
    </row>
    <row r="846" spans="1:1" hidden="1">
      <c r="A846" s="78"/>
    </row>
    <row r="847" spans="1:1" hidden="1">
      <c r="A847" s="78"/>
    </row>
    <row r="848" spans="1:1" hidden="1">
      <c r="A848" s="78"/>
    </row>
    <row r="849" spans="1:1" hidden="1">
      <c r="A849" s="78"/>
    </row>
    <row r="850" spans="1:1" hidden="1">
      <c r="A850" s="78"/>
    </row>
    <row r="851" spans="1:1" hidden="1">
      <c r="A851" s="78"/>
    </row>
    <row r="852" spans="1:1" hidden="1">
      <c r="A852" s="78"/>
    </row>
    <row r="853" spans="1:1" hidden="1">
      <c r="A853" s="78"/>
    </row>
    <row r="854" spans="1:1" hidden="1">
      <c r="A854" s="78"/>
    </row>
    <row r="855" spans="1:1" hidden="1">
      <c r="A855" s="78"/>
    </row>
    <row r="856" spans="1:1" hidden="1">
      <c r="A856" s="78"/>
    </row>
    <row r="857" spans="1:1" hidden="1">
      <c r="A857" s="78"/>
    </row>
    <row r="858" spans="1:1" hidden="1">
      <c r="A858" s="78"/>
    </row>
    <row r="859" spans="1:1" hidden="1">
      <c r="A859" s="78"/>
    </row>
    <row r="860" spans="1:1" hidden="1">
      <c r="A860" s="78"/>
    </row>
    <row r="861" spans="1:1" hidden="1">
      <c r="A861" s="78"/>
    </row>
    <row r="862" spans="1:1" hidden="1">
      <c r="A862" s="78"/>
    </row>
    <row r="863" spans="1:1" hidden="1">
      <c r="A863" s="78"/>
    </row>
    <row r="864" spans="1:1" hidden="1">
      <c r="A864" s="78"/>
    </row>
    <row r="865" spans="1:1" hidden="1">
      <c r="A865" s="78"/>
    </row>
    <row r="866" spans="1:1" hidden="1">
      <c r="A866" s="78"/>
    </row>
    <row r="867" spans="1:1" hidden="1">
      <c r="A867" s="78"/>
    </row>
    <row r="868" spans="1:1" hidden="1">
      <c r="A868" s="78"/>
    </row>
    <row r="869" spans="1:1" hidden="1">
      <c r="A869" s="78"/>
    </row>
    <row r="870" spans="1:1" hidden="1">
      <c r="A870" s="78"/>
    </row>
    <row r="871" spans="1:1" hidden="1">
      <c r="A871" s="78"/>
    </row>
    <row r="872" spans="1:1" hidden="1">
      <c r="A872" s="78"/>
    </row>
    <row r="873" spans="1:1" hidden="1">
      <c r="A873" s="78"/>
    </row>
    <row r="874" spans="1:1" hidden="1">
      <c r="A874" s="78"/>
    </row>
    <row r="875" spans="1:1" hidden="1">
      <c r="A875" s="78"/>
    </row>
    <row r="876" spans="1:1" hidden="1">
      <c r="A876" s="78"/>
    </row>
    <row r="877" spans="1:1" hidden="1">
      <c r="A877" s="78"/>
    </row>
    <row r="878" spans="1:1" hidden="1">
      <c r="A878" s="78"/>
    </row>
    <row r="879" spans="1:1" hidden="1">
      <c r="A879" s="78"/>
    </row>
    <row r="880" spans="1:1" hidden="1">
      <c r="A880" s="78"/>
    </row>
    <row r="881" spans="1:1" hidden="1">
      <c r="A881" s="78"/>
    </row>
    <row r="882" spans="1:1" hidden="1">
      <c r="A882" s="78"/>
    </row>
    <row r="883" spans="1:1" hidden="1">
      <c r="A883" s="78"/>
    </row>
    <row r="884" spans="1:1" hidden="1">
      <c r="A884" s="78"/>
    </row>
    <row r="885" spans="1:1" hidden="1">
      <c r="A885" s="78"/>
    </row>
    <row r="886" spans="1:1" hidden="1">
      <c r="A886" s="78"/>
    </row>
    <row r="887" spans="1:1" hidden="1">
      <c r="A887" s="78"/>
    </row>
    <row r="888" spans="1:1" hidden="1">
      <c r="A888" s="78"/>
    </row>
    <row r="889" spans="1:1" hidden="1">
      <c r="A889" s="78"/>
    </row>
    <row r="890" spans="1:1" hidden="1">
      <c r="A890" s="78"/>
    </row>
    <row r="891" spans="1:1" hidden="1">
      <c r="A891" s="78"/>
    </row>
    <row r="892" spans="1:1" hidden="1">
      <c r="A892" s="78"/>
    </row>
    <row r="893" spans="1:1" hidden="1">
      <c r="A893" s="78"/>
    </row>
    <row r="894" spans="1:1" hidden="1">
      <c r="A894" s="78"/>
    </row>
    <row r="895" spans="1:1" hidden="1">
      <c r="A895" s="78"/>
    </row>
    <row r="896" spans="1:1" hidden="1">
      <c r="A896" s="78"/>
    </row>
    <row r="897" spans="1:1" hidden="1">
      <c r="A897" s="78"/>
    </row>
    <row r="898" spans="1:1" hidden="1">
      <c r="A898" s="78"/>
    </row>
    <row r="899" spans="1:1" hidden="1">
      <c r="A899" s="78"/>
    </row>
    <row r="900" spans="1:1" hidden="1">
      <c r="A900" s="78"/>
    </row>
    <row r="901" spans="1:1" hidden="1">
      <c r="A901" s="78"/>
    </row>
    <row r="902" spans="1:1" hidden="1">
      <c r="A902" s="78"/>
    </row>
    <row r="903" spans="1:1" hidden="1">
      <c r="A903" s="78"/>
    </row>
    <row r="904" spans="1:1" hidden="1">
      <c r="A904" s="78"/>
    </row>
    <row r="905" spans="1:1" hidden="1">
      <c r="A905" s="78"/>
    </row>
    <row r="906" spans="1:1" hidden="1">
      <c r="A906" s="78"/>
    </row>
    <row r="907" spans="1:1" hidden="1">
      <c r="A907" s="78"/>
    </row>
    <row r="908" spans="1:1" hidden="1">
      <c r="A908" s="78"/>
    </row>
    <row r="909" spans="1:1" hidden="1">
      <c r="A909" s="78"/>
    </row>
    <row r="910" spans="1:1" hidden="1">
      <c r="A910" s="78"/>
    </row>
    <row r="911" spans="1:1" hidden="1">
      <c r="A911" s="78"/>
    </row>
    <row r="912" spans="1:1" hidden="1">
      <c r="A912" s="78"/>
    </row>
    <row r="913" spans="1:1" hidden="1">
      <c r="A913" s="78"/>
    </row>
    <row r="914" spans="1:1" hidden="1">
      <c r="A914" s="78"/>
    </row>
    <row r="915" spans="1:1" hidden="1">
      <c r="A915" s="78"/>
    </row>
    <row r="916" spans="1:1" hidden="1">
      <c r="A916" s="78"/>
    </row>
    <row r="917" spans="1:1" hidden="1">
      <c r="A917" s="78"/>
    </row>
    <row r="918" spans="1:1" hidden="1">
      <c r="A918" s="78"/>
    </row>
    <row r="919" spans="1:1" hidden="1">
      <c r="A919" s="78"/>
    </row>
    <row r="920" spans="1:1" hidden="1">
      <c r="A920" s="78"/>
    </row>
    <row r="921" spans="1:1" hidden="1">
      <c r="A921" s="78"/>
    </row>
    <row r="922" spans="1:1" hidden="1">
      <c r="A922" s="78"/>
    </row>
    <row r="923" spans="1:1" hidden="1">
      <c r="A923" s="78"/>
    </row>
    <row r="924" spans="1:1" hidden="1">
      <c r="A924" s="78"/>
    </row>
    <row r="925" spans="1:1" hidden="1">
      <c r="A925" s="78"/>
    </row>
    <row r="926" spans="1:1" hidden="1">
      <c r="A926" s="78"/>
    </row>
    <row r="927" spans="1:1" hidden="1">
      <c r="A927" s="78"/>
    </row>
    <row r="928" spans="1:1" hidden="1">
      <c r="A928" s="78"/>
    </row>
    <row r="929" spans="1:1" hidden="1">
      <c r="A929" s="78"/>
    </row>
    <row r="930" spans="1:1" hidden="1">
      <c r="A930" s="78"/>
    </row>
    <row r="931" spans="1:1" hidden="1">
      <c r="A931" s="78"/>
    </row>
    <row r="932" spans="1:1" hidden="1">
      <c r="A932" s="78"/>
    </row>
    <row r="933" spans="1:1" hidden="1">
      <c r="A933" s="78"/>
    </row>
    <row r="934" spans="1:1" hidden="1">
      <c r="A934" s="78"/>
    </row>
    <row r="935" spans="1:1" hidden="1">
      <c r="A935" s="78"/>
    </row>
    <row r="936" spans="1:1" hidden="1">
      <c r="A936" s="78"/>
    </row>
    <row r="937" spans="1:1" hidden="1">
      <c r="A937" s="78"/>
    </row>
    <row r="938" spans="1:1" hidden="1">
      <c r="A938" s="78"/>
    </row>
    <row r="939" spans="1:1" hidden="1">
      <c r="A939" s="78"/>
    </row>
    <row r="940" spans="1:1" hidden="1">
      <c r="A940" s="78"/>
    </row>
    <row r="941" spans="1:1" hidden="1">
      <c r="A941" s="78"/>
    </row>
    <row r="942" spans="1:1" hidden="1">
      <c r="A942" s="78"/>
    </row>
    <row r="943" spans="1:1" hidden="1">
      <c r="A943" s="78"/>
    </row>
    <row r="944" spans="1:1" hidden="1">
      <c r="A944" s="78"/>
    </row>
    <row r="945" spans="1:1" hidden="1">
      <c r="A945" s="78"/>
    </row>
    <row r="946" spans="1:1" hidden="1">
      <c r="A946" s="78"/>
    </row>
    <row r="947" spans="1:1" hidden="1">
      <c r="A947" s="78"/>
    </row>
    <row r="948" spans="1:1" hidden="1">
      <c r="A948" s="78"/>
    </row>
    <row r="949" spans="1:1" hidden="1">
      <c r="A949" s="78"/>
    </row>
    <row r="950" spans="1:1" hidden="1">
      <c r="A950" s="78"/>
    </row>
    <row r="951" spans="1:1" hidden="1">
      <c r="A951" s="78"/>
    </row>
    <row r="952" spans="1:1" hidden="1">
      <c r="A952" s="78"/>
    </row>
    <row r="953" spans="1:1" hidden="1">
      <c r="A953" s="78"/>
    </row>
    <row r="954" spans="1:1" hidden="1">
      <c r="A954" s="78"/>
    </row>
    <row r="955" spans="1:1" hidden="1">
      <c r="A955" s="78"/>
    </row>
    <row r="956" spans="1:1" hidden="1">
      <c r="A956" s="78"/>
    </row>
    <row r="957" spans="1:1" hidden="1">
      <c r="A957" s="78"/>
    </row>
    <row r="958" spans="1:1" hidden="1">
      <c r="A958" s="78"/>
    </row>
    <row r="959" spans="1:1" hidden="1">
      <c r="A959" s="78"/>
    </row>
    <row r="960" spans="1:1" hidden="1">
      <c r="A960" s="78"/>
    </row>
    <row r="961" spans="1:1" hidden="1">
      <c r="A961" s="78"/>
    </row>
    <row r="962" spans="1:1" hidden="1">
      <c r="A962" s="78"/>
    </row>
    <row r="963" spans="1:1" hidden="1">
      <c r="A963" s="78"/>
    </row>
    <row r="964" spans="1:1" hidden="1">
      <c r="A964" s="78"/>
    </row>
    <row r="965" spans="1:1" hidden="1">
      <c r="A965" s="78"/>
    </row>
    <row r="966" spans="1:1" hidden="1">
      <c r="A966" s="78"/>
    </row>
    <row r="967" spans="1:1" hidden="1">
      <c r="A967" s="78"/>
    </row>
    <row r="968" spans="1:1" hidden="1">
      <c r="A968" s="78"/>
    </row>
    <row r="969" spans="1:1" hidden="1">
      <c r="A969" s="78"/>
    </row>
    <row r="970" spans="1:1" hidden="1">
      <c r="A970" s="78"/>
    </row>
    <row r="971" spans="1:1" hidden="1">
      <c r="A971" s="78"/>
    </row>
    <row r="972" spans="1:1" hidden="1">
      <c r="A972" s="78"/>
    </row>
    <row r="973" spans="1:1" hidden="1">
      <c r="A973" s="78"/>
    </row>
    <row r="974" spans="1:1" hidden="1">
      <c r="A974" s="78"/>
    </row>
    <row r="975" spans="1:1" hidden="1">
      <c r="A975" s="78"/>
    </row>
    <row r="976" spans="1:1" hidden="1">
      <c r="A976" s="78"/>
    </row>
    <row r="977" spans="1:1" hidden="1">
      <c r="A977" s="78"/>
    </row>
    <row r="978" spans="1:1" hidden="1">
      <c r="A978" s="78"/>
    </row>
    <row r="979" spans="1:1" hidden="1">
      <c r="A979" s="78"/>
    </row>
    <row r="980" spans="1:1" hidden="1">
      <c r="A980" s="78"/>
    </row>
    <row r="981" spans="1:1" hidden="1">
      <c r="A981" s="78"/>
    </row>
    <row r="982" spans="1:1" hidden="1">
      <c r="A982" s="78"/>
    </row>
    <row r="983" spans="1:1" hidden="1">
      <c r="A983" s="78"/>
    </row>
    <row r="984" spans="1:1" hidden="1">
      <c r="A984" s="78"/>
    </row>
    <row r="985" spans="1:1" hidden="1">
      <c r="A985" s="78"/>
    </row>
    <row r="986" spans="1:1" hidden="1">
      <c r="A986" s="78"/>
    </row>
    <row r="987" spans="1:1" hidden="1">
      <c r="A987" s="78"/>
    </row>
    <row r="988" spans="1:1" hidden="1">
      <c r="A988" s="78"/>
    </row>
    <row r="989" spans="1:1" hidden="1">
      <c r="A989" s="78"/>
    </row>
    <row r="990" spans="1:1" hidden="1">
      <c r="A990" s="78"/>
    </row>
    <row r="991" spans="1:1" hidden="1">
      <c r="A991" s="78"/>
    </row>
    <row r="992" spans="1:1" hidden="1">
      <c r="A992" s="78"/>
    </row>
    <row r="993" spans="1:1" hidden="1">
      <c r="A993" s="78"/>
    </row>
    <row r="994" spans="1:1" hidden="1">
      <c r="A994" s="78"/>
    </row>
    <row r="995" spans="1:1" hidden="1">
      <c r="A995" s="78"/>
    </row>
    <row r="996" spans="1:1" hidden="1">
      <c r="A996" s="78"/>
    </row>
    <row r="997" spans="1:1" hidden="1">
      <c r="A997" s="78"/>
    </row>
    <row r="998" spans="1:1" hidden="1">
      <c r="A998" s="78"/>
    </row>
    <row r="999" spans="1:1" hidden="1">
      <c r="A999" s="78"/>
    </row>
    <row r="1000" spans="1:1" hidden="1">
      <c r="A1000" s="78"/>
    </row>
    <row r="1001" spans="1:1" hidden="1">
      <c r="A1001" s="78"/>
    </row>
    <row r="1002" spans="1:1" hidden="1">
      <c r="A1002" s="78"/>
    </row>
    <row r="1003" spans="1:1" hidden="1">
      <c r="A1003" s="78"/>
    </row>
    <row r="1004" spans="1:1" hidden="1">
      <c r="A1004" s="78"/>
    </row>
    <row r="1005" spans="1:1" hidden="1">
      <c r="A1005" s="78"/>
    </row>
    <row r="1006" spans="1:1" hidden="1">
      <c r="A1006" s="78"/>
    </row>
    <row r="1007" spans="1:1" hidden="1">
      <c r="A1007" s="78"/>
    </row>
    <row r="1008" spans="1:1" hidden="1">
      <c r="A1008" s="78"/>
    </row>
    <row r="1009" spans="1:1" hidden="1">
      <c r="A1009" s="78"/>
    </row>
    <row r="1010" spans="1:1" hidden="1">
      <c r="A1010" s="78"/>
    </row>
    <row r="1011" spans="1:1" hidden="1">
      <c r="A1011" s="78"/>
    </row>
    <row r="1012" spans="1:1" hidden="1">
      <c r="A1012" s="78"/>
    </row>
    <row r="1013" spans="1:1" hidden="1">
      <c r="A1013" s="78"/>
    </row>
    <row r="1014" spans="1:1" hidden="1">
      <c r="A1014" s="78"/>
    </row>
    <row r="1015" spans="1:1" hidden="1">
      <c r="A1015" s="78"/>
    </row>
    <row r="1016" spans="1:1" hidden="1">
      <c r="A1016" s="78"/>
    </row>
    <row r="1017" spans="1:1" hidden="1">
      <c r="A1017" s="78"/>
    </row>
    <row r="1018" spans="1:1" hidden="1">
      <c r="A1018" s="78"/>
    </row>
    <row r="1019" spans="1:1" hidden="1">
      <c r="A1019" s="78"/>
    </row>
    <row r="1020" spans="1:1" hidden="1">
      <c r="A1020" s="78"/>
    </row>
    <row r="1021" spans="1:1" hidden="1">
      <c r="A1021" s="78"/>
    </row>
    <row r="1022" spans="1:1" hidden="1">
      <c r="A1022" s="78"/>
    </row>
    <row r="1023" spans="1:1" hidden="1">
      <c r="A1023" s="78"/>
    </row>
    <row r="1024" spans="1:1" hidden="1">
      <c r="A1024" s="78"/>
    </row>
    <row r="1025" spans="1:1" hidden="1">
      <c r="A1025" s="78"/>
    </row>
    <row r="1026" spans="1:1" hidden="1">
      <c r="A1026" s="78"/>
    </row>
    <row r="1027" spans="1:1" hidden="1">
      <c r="A1027" s="78"/>
    </row>
    <row r="1028" spans="1:1" hidden="1">
      <c r="A1028" s="78"/>
    </row>
    <row r="1029" spans="1:1" hidden="1">
      <c r="A1029" s="78"/>
    </row>
    <row r="1030" spans="1:1" hidden="1">
      <c r="A1030" s="78"/>
    </row>
    <row r="1031" spans="1:1" hidden="1">
      <c r="A1031" s="78"/>
    </row>
    <row r="1032" spans="1:1" hidden="1">
      <c r="A1032" s="78"/>
    </row>
    <row r="1033" spans="1:1" hidden="1">
      <c r="A1033" s="78"/>
    </row>
    <row r="1034" spans="1:1" hidden="1">
      <c r="A1034" s="78"/>
    </row>
    <row r="1035" spans="1:1" hidden="1">
      <c r="A1035" s="78"/>
    </row>
    <row r="1036" spans="1:1" hidden="1">
      <c r="A1036" s="78"/>
    </row>
    <row r="1037" spans="1:1" hidden="1">
      <c r="A1037" s="78"/>
    </row>
    <row r="1038" spans="1:1" hidden="1">
      <c r="A1038" s="78"/>
    </row>
    <row r="1039" spans="1:1" hidden="1">
      <c r="A1039" s="78"/>
    </row>
    <row r="1040" spans="1:1" hidden="1">
      <c r="A1040" s="78"/>
    </row>
    <row r="1041" spans="1:1" hidden="1">
      <c r="A1041" s="78"/>
    </row>
    <row r="1042" spans="1:1" hidden="1">
      <c r="A1042" s="78"/>
    </row>
    <row r="1043" spans="1:1" hidden="1">
      <c r="A1043" s="78"/>
    </row>
    <row r="1044" spans="1:1" hidden="1">
      <c r="A1044" s="78"/>
    </row>
    <row r="1045" spans="1:1" hidden="1">
      <c r="A1045" s="78"/>
    </row>
    <row r="1046" spans="1:1" hidden="1">
      <c r="A1046" s="78"/>
    </row>
    <row r="1047" spans="1:1" hidden="1">
      <c r="A1047" s="78"/>
    </row>
    <row r="1048" spans="1:1" hidden="1">
      <c r="A1048" s="78"/>
    </row>
    <row r="1049" spans="1:1" hidden="1">
      <c r="A1049" s="78"/>
    </row>
    <row r="1050" spans="1:1" hidden="1">
      <c r="A1050" s="78"/>
    </row>
    <row r="1051" spans="1:1" hidden="1">
      <c r="A1051" s="78"/>
    </row>
    <row r="1052" spans="1:1" hidden="1">
      <c r="A1052" s="78"/>
    </row>
    <row r="1053" spans="1:1" hidden="1">
      <c r="A1053" s="78"/>
    </row>
    <row r="1054" spans="1:1" hidden="1">
      <c r="A1054" s="78"/>
    </row>
    <row r="1055" spans="1:1" hidden="1">
      <c r="A1055" s="78"/>
    </row>
    <row r="1056" spans="1:1" hidden="1">
      <c r="A1056" s="78"/>
    </row>
    <row r="1057" spans="1:1" hidden="1">
      <c r="A1057" s="78"/>
    </row>
    <row r="1058" spans="1:1" hidden="1">
      <c r="A1058" s="78"/>
    </row>
    <row r="1059" spans="1:1" hidden="1">
      <c r="A1059" s="78"/>
    </row>
    <row r="1060" spans="1:1" hidden="1">
      <c r="A1060" s="78"/>
    </row>
    <row r="1061" spans="1:1" hidden="1">
      <c r="A1061" s="78"/>
    </row>
    <row r="1062" spans="1:1" hidden="1">
      <c r="A1062" s="78"/>
    </row>
    <row r="1063" spans="1:1" hidden="1">
      <c r="A1063" s="78"/>
    </row>
    <row r="1064" spans="1:1" hidden="1">
      <c r="A1064" s="78"/>
    </row>
    <row r="1065" spans="1:1" hidden="1">
      <c r="A1065" s="78"/>
    </row>
    <row r="1066" spans="1:1" hidden="1">
      <c r="A1066" s="78"/>
    </row>
    <row r="1067" spans="1:1" hidden="1">
      <c r="A1067" s="78"/>
    </row>
    <row r="1068" spans="1:1" hidden="1">
      <c r="A1068" s="78"/>
    </row>
    <row r="1069" spans="1:1" hidden="1">
      <c r="A1069" s="78"/>
    </row>
    <row r="1070" spans="1:1" hidden="1">
      <c r="A1070" s="78"/>
    </row>
    <row r="1071" spans="1:1" hidden="1">
      <c r="A1071" s="78"/>
    </row>
    <row r="1072" spans="1:1" hidden="1">
      <c r="A1072" s="78"/>
    </row>
    <row r="1073" spans="1:1" hidden="1">
      <c r="A1073" s="78"/>
    </row>
    <row r="1074" spans="1:1" hidden="1">
      <c r="A1074" s="78"/>
    </row>
    <row r="1075" spans="1:1" hidden="1">
      <c r="A1075" s="78"/>
    </row>
    <row r="1076" spans="1:1" hidden="1">
      <c r="A1076" s="78"/>
    </row>
    <row r="1077" spans="1:1" hidden="1">
      <c r="A1077" s="78"/>
    </row>
    <row r="1078" spans="1:1" hidden="1">
      <c r="A1078" s="78"/>
    </row>
    <row r="1079" spans="1:1" hidden="1">
      <c r="A1079" s="78"/>
    </row>
    <row r="1080" spans="1:1" hidden="1">
      <c r="A1080" s="78"/>
    </row>
    <row r="1081" spans="1:1" hidden="1">
      <c r="A1081" s="78"/>
    </row>
    <row r="1082" spans="1:1" hidden="1">
      <c r="A1082" s="78"/>
    </row>
    <row r="1083" spans="1:1" hidden="1">
      <c r="A1083" s="78"/>
    </row>
    <row r="1084" spans="1:1" hidden="1">
      <c r="A1084" s="78"/>
    </row>
    <row r="1085" spans="1:1" hidden="1">
      <c r="A1085" s="78"/>
    </row>
    <row r="1086" spans="1:1" hidden="1">
      <c r="A1086" s="78"/>
    </row>
    <row r="1087" spans="1:1" hidden="1">
      <c r="A1087" s="78"/>
    </row>
    <row r="1088" spans="1:1" hidden="1">
      <c r="A1088" s="78"/>
    </row>
    <row r="1089" spans="1:1" hidden="1">
      <c r="A1089" s="78"/>
    </row>
    <row r="1090" spans="1:1" hidden="1">
      <c r="A1090" s="78"/>
    </row>
    <row r="1091" spans="1:1" hidden="1">
      <c r="A1091" s="78"/>
    </row>
    <row r="1092" spans="1:1" hidden="1">
      <c r="A1092" s="78"/>
    </row>
    <row r="1093" spans="1:1" hidden="1">
      <c r="A1093" s="78"/>
    </row>
    <row r="1094" spans="1:1" hidden="1">
      <c r="A1094" s="78"/>
    </row>
    <row r="1095" spans="1:1" hidden="1">
      <c r="A1095" s="78"/>
    </row>
    <row r="1096" spans="1:1" hidden="1">
      <c r="A1096" s="78"/>
    </row>
    <row r="1097" spans="1:1" hidden="1">
      <c r="A1097" s="78"/>
    </row>
    <row r="1098" spans="1:1" hidden="1">
      <c r="A1098" s="78"/>
    </row>
    <row r="1099" spans="1:1" hidden="1">
      <c r="A1099" s="78"/>
    </row>
    <row r="1100" spans="1:1" hidden="1">
      <c r="A1100" s="78"/>
    </row>
    <row r="1101" spans="1:1" hidden="1">
      <c r="A1101" s="78"/>
    </row>
    <row r="1102" spans="1:1" hidden="1">
      <c r="A1102" s="78"/>
    </row>
    <row r="1103" spans="1:1" hidden="1">
      <c r="A1103" s="78"/>
    </row>
    <row r="1104" spans="1:1" hidden="1">
      <c r="A1104" s="78"/>
    </row>
    <row r="1105" spans="1:1" hidden="1">
      <c r="A1105" s="78"/>
    </row>
    <row r="1106" spans="1:1" hidden="1">
      <c r="A1106" s="78"/>
    </row>
    <row r="1107" spans="1:1" hidden="1">
      <c r="A1107" s="78"/>
    </row>
    <row r="1108" spans="1:1" hidden="1">
      <c r="A1108" s="78"/>
    </row>
    <row r="1109" spans="1:1" hidden="1">
      <c r="A1109" s="78"/>
    </row>
    <row r="1110" spans="1:1" hidden="1">
      <c r="A1110" s="78"/>
    </row>
    <row r="1111" spans="1:1" hidden="1">
      <c r="A1111" s="78"/>
    </row>
    <row r="1112" spans="1:1" hidden="1">
      <c r="A1112" s="78"/>
    </row>
    <row r="1113" spans="1:1" hidden="1">
      <c r="A1113" s="78"/>
    </row>
    <row r="1114" spans="1:1" hidden="1">
      <c r="A1114" s="78"/>
    </row>
    <row r="1115" spans="1:1" hidden="1">
      <c r="A1115" s="78"/>
    </row>
    <row r="1116" spans="1:1" hidden="1">
      <c r="A1116" s="78"/>
    </row>
    <row r="1117" spans="1:1" hidden="1">
      <c r="A1117" s="78"/>
    </row>
    <row r="1118" spans="1:1" hidden="1">
      <c r="A1118" s="78"/>
    </row>
    <row r="1119" spans="1:1" hidden="1">
      <c r="A1119" s="78"/>
    </row>
    <row r="1120" spans="1:1" hidden="1">
      <c r="A1120" s="78"/>
    </row>
    <row r="1121" spans="1:1" hidden="1">
      <c r="A1121" s="78"/>
    </row>
    <row r="1122" spans="1:1" hidden="1">
      <c r="A1122" s="78"/>
    </row>
    <row r="1123" spans="1:1" hidden="1">
      <c r="A1123" s="78"/>
    </row>
    <row r="1124" spans="1:1" hidden="1">
      <c r="A1124" s="78"/>
    </row>
    <row r="1125" spans="1:1" hidden="1">
      <c r="A1125" s="78"/>
    </row>
    <row r="1126" spans="1:1" hidden="1">
      <c r="A1126" s="78"/>
    </row>
    <row r="1127" spans="1:1" hidden="1">
      <c r="A1127" s="78"/>
    </row>
    <row r="1128" spans="1:1" hidden="1">
      <c r="A1128" s="78"/>
    </row>
    <row r="1129" spans="1:1" hidden="1">
      <c r="A1129" s="78"/>
    </row>
    <row r="1130" spans="1:1" hidden="1">
      <c r="A1130" s="78"/>
    </row>
    <row r="1131" spans="1:1" hidden="1">
      <c r="A1131" s="78"/>
    </row>
    <row r="1132" spans="1:1" hidden="1">
      <c r="A1132" s="78"/>
    </row>
    <row r="1133" spans="1:1" hidden="1">
      <c r="A1133" s="78"/>
    </row>
    <row r="1134" spans="1:1" hidden="1">
      <c r="A1134" s="78"/>
    </row>
    <row r="1135" spans="1:1" hidden="1">
      <c r="A1135" s="78"/>
    </row>
    <row r="1136" spans="1:1" hidden="1">
      <c r="A1136" s="78"/>
    </row>
    <row r="1137" spans="1:1" hidden="1">
      <c r="A1137" s="78"/>
    </row>
    <row r="1138" spans="1:1" hidden="1">
      <c r="A1138" s="78"/>
    </row>
    <row r="1139" spans="1:1" hidden="1">
      <c r="A1139" s="78"/>
    </row>
    <row r="1140" spans="1:1" hidden="1">
      <c r="A1140" s="78"/>
    </row>
    <row r="1141" spans="1:1" hidden="1">
      <c r="A1141" s="78"/>
    </row>
    <row r="1142" spans="1:1" hidden="1">
      <c r="A1142" s="78"/>
    </row>
    <row r="1143" spans="1:1" hidden="1">
      <c r="A1143" s="78"/>
    </row>
    <row r="1144" spans="1:1" hidden="1">
      <c r="A1144" s="78"/>
    </row>
    <row r="1145" spans="1:1" hidden="1">
      <c r="A1145" s="78"/>
    </row>
    <row r="1146" spans="1:1" hidden="1">
      <c r="A1146" s="78"/>
    </row>
    <row r="1147" spans="1:1" hidden="1">
      <c r="A1147" s="78"/>
    </row>
    <row r="1148" spans="1:1" hidden="1">
      <c r="A1148" s="78"/>
    </row>
    <row r="1149" spans="1:1" hidden="1">
      <c r="A1149" s="78"/>
    </row>
    <row r="1150" spans="1:1" hidden="1">
      <c r="A1150" s="78"/>
    </row>
    <row r="1151" spans="1:1" hidden="1">
      <c r="A1151" s="78"/>
    </row>
    <row r="1152" spans="1:1" hidden="1">
      <c r="A1152" s="78"/>
    </row>
    <row r="1153" spans="1:1" hidden="1">
      <c r="A1153" s="78"/>
    </row>
    <row r="1154" spans="1:1" hidden="1">
      <c r="A1154" s="78"/>
    </row>
    <row r="1155" spans="1:1" hidden="1">
      <c r="A1155" s="78"/>
    </row>
    <row r="1156" spans="1:1" hidden="1">
      <c r="A1156" s="78"/>
    </row>
    <row r="1157" spans="1:1" hidden="1">
      <c r="A1157" s="78"/>
    </row>
    <row r="1158" spans="1:1" hidden="1">
      <c r="A1158" s="78"/>
    </row>
    <row r="1159" spans="1:1" hidden="1">
      <c r="A1159" s="78"/>
    </row>
    <row r="1160" spans="1:1" hidden="1">
      <c r="A1160" s="78"/>
    </row>
    <row r="1161" spans="1:1" hidden="1">
      <c r="A1161" s="78"/>
    </row>
    <row r="1162" spans="1:1" hidden="1">
      <c r="A1162" s="78"/>
    </row>
    <row r="1163" spans="1:1" hidden="1">
      <c r="A1163" s="78"/>
    </row>
    <row r="1164" spans="1:1" hidden="1">
      <c r="A1164" s="78"/>
    </row>
    <row r="1165" spans="1:1" hidden="1">
      <c r="A1165" s="78"/>
    </row>
    <row r="1166" spans="1:1" hidden="1">
      <c r="A1166" s="78"/>
    </row>
    <row r="1167" spans="1:1" hidden="1">
      <c r="A1167" s="78"/>
    </row>
    <row r="1168" spans="1:1" hidden="1">
      <c r="A1168" s="78"/>
    </row>
    <row r="1169" spans="1:1" hidden="1">
      <c r="A1169" s="78"/>
    </row>
    <row r="1170" spans="1:1" hidden="1">
      <c r="A1170" s="78"/>
    </row>
    <row r="1171" spans="1:1" hidden="1">
      <c r="A1171" s="78"/>
    </row>
    <row r="1172" spans="1:1" hidden="1">
      <c r="A1172" s="78"/>
    </row>
    <row r="1173" spans="1:1" hidden="1">
      <c r="A1173" s="78"/>
    </row>
    <row r="1174" spans="1:1" hidden="1">
      <c r="A1174" s="78"/>
    </row>
    <row r="1175" spans="1:1" hidden="1">
      <c r="A1175" s="78"/>
    </row>
    <row r="1176" spans="1:1" hidden="1">
      <c r="A1176" s="78"/>
    </row>
    <row r="1177" spans="1:1" hidden="1">
      <c r="A1177" s="78"/>
    </row>
    <row r="1178" spans="1:1" hidden="1">
      <c r="A1178" s="78"/>
    </row>
    <row r="1179" spans="1:1" hidden="1">
      <c r="A1179" s="78"/>
    </row>
    <row r="1180" spans="1:1" hidden="1">
      <c r="A1180" s="78"/>
    </row>
    <row r="1181" spans="1:1" hidden="1">
      <c r="A1181" s="78"/>
    </row>
    <row r="1182" spans="1:1" hidden="1">
      <c r="A1182" s="78"/>
    </row>
    <row r="1183" spans="1:1" hidden="1">
      <c r="A1183" s="78"/>
    </row>
    <row r="1184" spans="1:1" hidden="1">
      <c r="A1184" s="78"/>
    </row>
    <row r="1185" spans="1:1" hidden="1">
      <c r="A1185" s="78"/>
    </row>
    <row r="1186" spans="1:1" hidden="1">
      <c r="A1186" s="78"/>
    </row>
    <row r="1187" spans="1:1" hidden="1">
      <c r="A1187" s="78"/>
    </row>
    <row r="1188" spans="1:1" hidden="1">
      <c r="A1188" s="78"/>
    </row>
    <row r="1189" spans="1:1" hidden="1">
      <c r="A1189" s="78"/>
    </row>
    <row r="1190" spans="1:1" hidden="1">
      <c r="A1190" s="78"/>
    </row>
    <row r="1191" spans="1:1" hidden="1">
      <c r="A1191" s="78"/>
    </row>
    <row r="1192" spans="1:1" hidden="1">
      <c r="A1192" s="78"/>
    </row>
    <row r="1193" spans="1:1" hidden="1">
      <c r="A1193" s="78"/>
    </row>
    <row r="1194" spans="1:1" hidden="1">
      <c r="A1194" s="78"/>
    </row>
    <row r="1195" spans="1:1" hidden="1">
      <c r="A1195" s="78"/>
    </row>
    <row r="1196" spans="1:1" hidden="1">
      <c r="A1196" s="78"/>
    </row>
    <row r="1197" spans="1:1" hidden="1">
      <c r="A1197" s="78"/>
    </row>
    <row r="1198" spans="1:1" hidden="1">
      <c r="A1198" s="78"/>
    </row>
    <row r="1199" spans="1:1" hidden="1">
      <c r="A1199" s="78"/>
    </row>
    <row r="1200" spans="1:1" hidden="1">
      <c r="A1200" s="78"/>
    </row>
    <row r="1201" spans="1:1" hidden="1">
      <c r="A1201" s="78"/>
    </row>
    <row r="1202" spans="1:1" hidden="1">
      <c r="A1202" s="78"/>
    </row>
    <row r="1203" spans="1:1" hidden="1">
      <c r="A1203" s="78"/>
    </row>
    <row r="1204" spans="1:1" hidden="1">
      <c r="A1204" s="78"/>
    </row>
    <row r="1205" spans="1:1" hidden="1">
      <c r="A1205" s="78"/>
    </row>
    <row r="1206" spans="1:1" hidden="1">
      <c r="A1206" s="78"/>
    </row>
    <row r="1207" spans="1:1" hidden="1">
      <c r="A1207" s="78"/>
    </row>
    <row r="1208" spans="1:1" hidden="1">
      <c r="A1208" s="78"/>
    </row>
    <row r="1209" spans="1:1" hidden="1">
      <c r="A1209" s="78"/>
    </row>
    <row r="1210" spans="1:1" hidden="1">
      <c r="A1210" s="78"/>
    </row>
    <row r="1211" spans="1:1" hidden="1">
      <c r="A1211" s="78"/>
    </row>
    <row r="1212" spans="1:1" hidden="1">
      <c r="A1212" s="78"/>
    </row>
    <row r="1213" spans="1:1" hidden="1">
      <c r="A1213" s="78"/>
    </row>
    <row r="1214" spans="1:1" hidden="1">
      <c r="A1214" s="78"/>
    </row>
    <row r="1215" spans="1:1" hidden="1">
      <c r="A1215" s="78"/>
    </row>
    <row r="1216" spans="1:1" hidden="1">
      <c r="A1216" s="78"/>
    </row>
    <row r="1217" spans="1:1" hidden="1">
      <c r="A1217" s="78"/>
    </row>
    <row r="1218" spans="1:1" hidden="1">
      <c r="A1218" s="78"/>
    </row>
    <row r="1219" spans="1:1" hidden="1">
      <c r="A1219" s="78"/>
    </row>
    <row r="1220" spans="1:1" hidden="1">
      <c r="A1220" s="78"/>
    </row>
    <row r="1221" spans="1:1" hidden="1">
      <c r="A1221" s="78"/>
    </row>
    <row r="1222" spans="1:1" hidden="1">
      <c r="A1222" s="78"/>
    </row>
    <row r="1223" spans="1:1" hidden="1">
      <c r="A1223" s="78"/>
    </row>
    <row r="1224" spans="1:1" hidden="1">
      <c r="A1224" s="78"/>
    </row>
    <row r="1225" spans="1:1" hidden="1">
      <c r="A1225" s="78"/>
    </row>
    <row r="1226" spans="1:1" hidden="1">
      <c r="A1226" s="78"/>
    </row>
    <row r="1227" spans="1:1" hidden="1">
      <c r="A1227" s="78"/>
    </row>
    <row r="1228" spans="1:1" hidden="1">
      <c r="A1228" s="78"/>
    </row>
    <row r="1229" spans="1:1" hidden="1">
      <c r="A1229" s="78"/>
    </row>
    <row r="1230" spans="1:1" hidden="1">
      <c r="A1230" s="78"/>
    </row>
    <row r="1231" spans="1:1" hidden="1">
      <c r="A1231" s="78"/>
    </row>
    <row r="1232" spans="1:1" hidden="1">
      <c r="A1232" s="78"/>
    </row>
    <row r="1233" spans="1:1" hidden="1">
      <c r="A1233" s="78"/>
    </row>
    <row r="1234" spans="1:1" hidden="1">
      <c r="A1234" s="78"/>
    </row>
    <row r="1235" spans="1:1" hidden="1">
      <c r="A1235" s="78"/>
    </row>
    <row r="1236" spans="1:1" hidden="1">
      <c r="A1236" s="78"/>
    </row>
    <row r="1237" spans="1:1" hidden="1">
      <c r="A1237" s="78"/>
    </row>
    <row r="1238" spans="1:1" hidden="1">
      <c r="A1238" s="78"/>
    </row>
    <row r="1239" spans="1:1" hidden="1">
      <c r="A1239" s="78"/>
    </row>
    <row r="1240" spans="1:1" hidden="1">
      <c r="A1240" s="78"/>
    </row>
    <row r="1241" spans="1:1" hidden="1">
      <c r="A1241" s="78"/>
    </row>
    <row r="1242" spans="1:1" hidden="1">
      <c r="A1242" s="78"/>
    </row>
    <row r="1243" spans="1:1" hidden="1">
      <c r="A1243" s="78"/>
    </row>
    <row r="1244" spans="1:1" hidden="1">
      <c r="A1244" s="78"/>
    </row>
    <row r="1245" spans="1:1" hidden="1">
      <c r="A1245" s="78"/>
    </row>
    <row r="1246" spans="1:1" hidden="1">
      <c r="A1246" s="78"/>
    </row>
    <row r="1247" spans="1:1" hidden="1">
      <c r="A1247" s="78"/>
    </row>
    <row r="1248" spans="1:1" hidden="1">
      <c r="A1248" s="78"/>
    </row>
    <row r="1249" spans="1:1" hidden="1">
      <c r="A1249" s="78"/>
    </row>
    <row r="1250" spans="1:1" hidden="1">
      <c r="A1250" s="78"/>
    </row>
    <row r="1251" spans="1:1" hidden="1">
      <c r="A1251" s="78"/>
    </row>
    <row r="1252" spans="1:1" hidden="1">
      <c r="A1252" s="78"/>
    </row>
    <row r="1253" spans="1:1" hidden="1">
      <c r="A1253" s="78"/>
    </row>
    <row r="1254" spans="1:1" hidden="1">
      <c r="A1254" s="78"/>
    </row>
    <row r="1255" spans="1:1" hidden="1">
      <c r="A1255" s="78"/>
    </row>
    <row r="1256" spans="1:1" hidden="1">
      <c r="A1256" s="78"/>
    </row>
    <row r="1257" spans="1:1" hidden="1">
      <c r="A1257" s="78"/>
    </row>
    <row r="1258" spans="1:1" hidden="1">
      <c r="A1258" s="78"/>
    </row>
    <row r="1259" spans="1:1" hidden="1">
      <c r="A1259" s="78"/>
    </row>
    <row r="1260" spans="1:1" hidden="1">
      <c r="A1260" s="78"/>
    </row>
    <row r="1261" spans="1:1" hidden="1">
      <c r="A1261" s="78"/>
    </row>
    <row r="1262" spans="1:1" hidden="1">
      <c r="A1262" s="78"/>
    </row>
    <row r="1263" spans="1:1" hidden="1">
      <c r="A1263" s="78"/>
    </row>
    <row r="1264" spans="1:1" hidden="1">
      <c r="A1264" s="78"/>
    </row>
    <row r="1265" spans="1:1" hidden="1">
      <c r="A1265" s="78"/>
    </row>
    <row r="1266" spans="1:1" hidden="1">
      <c r="A1266" s="78"/>
    </row>
    <row r="1267" spans="1:1" hidden="1">
      <c r="A1267" s="78"/>
    </row>
    <row r="1268" spans="1:1" hidden="1">
      <c r="A1268" s="78"/>
    </row>
    <row r="1269" spans="1:1" hidden="1">
      <c r="A1269" s="78"/>
    </row>
    <row r="1270" spans="1:1" hidden="1">
      <c r="A1270" s="78"/>
    </row>
    <row r="1271" spans="1:1" hidden="1">
      <c r="A1271" s="78"/>
    </row>
    <row r="1272" spans="1:1" hidden="1">
      <c r="A1272" s="78"/>
    </row>
    <row r="1273" spans="1:1" hidden="1">
      <c r="A1273" s="78"/>
    </row>
    <row r="1274" spans="1:1" hidden="1">
      <c r="A1274" s="78"/>
    </row>
    <row r="1275" spans="1:1" hidden="1">
      <c r="A1275" s="78"/>
    </row>
    <row r="1276" spans="1:1" hidden="1">
      <c r="A1276" s="78"/>
    </row>
    <row r="1277" spans="1:1" hidden="1">
      <c r="A1277" s="78"/>
    </row>
    <row r="1278" spans="1:1" hidden="1">
      <c r="A1278" s="78"/>
    </row>
    <row r="1279" spans="1:1" hidden="1">
      <c r="A1279" s="78"/>
    </row>
    <row r="1280" spans="1:1" hidden="1">
      <c r="A1280" s="78"/>
    </row>
    <row r="1281" spans="1:1" hidden="1">
      <c r="A1281" s="78"/>
    </row>
    <row r="1282" spans="1:1" hidden="1">
      <c r="A1282" s="78"/>
    </row>
    <row r="1283" spans="1:1" hidden="1">
      <c r="A1283" s="78"/>
    </row>
    <row r="1284" spans="1:1" hidden="1">
      <c r="A1284" s="78"/>
    </row>
    <row r="1285" spans="1:1" hidden="1">
      <c r="A1285" s="78"/>
    </row>
    <row r="1286" spans="1:1" hidden="1">
      <c r="A1286" s="78"/>
    </row>
    <row r="1287" spans="1:1" hidden="1">
      <c r="A1287" s="78"/>
    </row>
    <row r="1288" spans="1:1" hidden="1">
      <c r="A1288" s="78"/>
    </row>
    <row r="1289" spans="1:1" hidden="1">
      <c r="A1289" s="78"/>
    </row>
    <row r="1290" spans="1:1" hidden="1">
      <c r="A1290" s="78"/>
    </row>
    <row r="1291" spans="1:1" hidden="1">
      <c r="A1291" s="78"/>
    </row>
    <row r="1292" spans="1:1" hidden="1">
      <c r="A1292" s="78"/>
    </row>
    <row r="1293" spans="1:1" hidden="1">
      <c r="A1293" s="78"/>
    </row>
    <row r="1294" spans="1:1" hidden="1">
      <c r="A1294" s="78"/>
    </row>
    <row r="1295" spans="1:1" hidden="1">
      <c r="A1295" s="78"/>
    </row>
    <row r="1296" spans="1:1" hidden="1">
      <c r="A1296" s="78"/>
    </row>
    <row r="1297" spans="1:15" hidden="1">
      <c r="A1297" s="78"/>
    </row>
    <row r="1298" spans="1:15" hidden="1">
      <c r="A1298" s="78"/>
    </row>
    <row r="1299" spans="1:15" hidden="1">
      <c r="A1299" s="78"/>
    </row>
    <row r="1300" spans="1:15" hidden="1">
      <c r="A1300" s="78"/>
    </row>
    <row r="1301" spans="1:15" hidden="1">
      <c r="A1301" s="78"/>
    </row>
    <row r="1302" spans="1:15" hidden="1">
      <c r="A1302" s="78"/>
    </row>
    <row r="1303" spans="1:15" hidden="1">
      <c r="A1303" s="78"/>
    </row>
    <row r="1304" spans="1:15" hidden="1">
      <c r="A1304" s="78"/>
    </row>
    <row r="1305" spans="1:15" hidden="1">
      <c r="A1305" s="78"/>
    </row>
    <row r="1306" spans="1:15" hidden="1">
      <c r="A1306" s="78"/>
    </row>
    <row r="1307" spans="1:15" hidden="1">
      <c r="A1307" s="78"/>
    </row>
    <row r="1308" spans="1:15" hidden="1">
      <c r="A1308" s="78"/>
    </row>
    <row r="1309" spans="1:15" hidden="1">
      <c r="A1309" s="78"/>
    </row>
    <row r="1310" spans="1:15" hidden="1">
      <c r="A1310" s="78"/>
    </row>
    <row r="1311" spans="1:15" hidden="1">
      <c r="A1311" s="78"/>
    </row>
    <row r="1312" spans="1:15">
      <c r="B1312" s="76"/>
      <c r="C1312" s="76"/>
      <c r="D1312" s="76"/>
      <c r="E1312" s="76"/>
      <c r="F1312" s="76"/>
      <c r="G1312" s="76"/>
      <c r="H1312" s="76"/>
      <c r="I1312" s="76"/>
      <c r="J1312" s="76"/>
      <c r="K1312" s="76"/>
      <c r="L1312" s="76"/>
      <c r="M1312" s="76"/>
      <c r="N1312" s="76"/>
      <c r="O1312" s="76"/>
    </row>
    <row r="1313" spans="2:15">
      <c r="B1313" s="76"/>
      <c r="C1313" s="76"/>
      <c r="D1313" s="76"/>
      <c r="E1313" s="76"/>
      <c r="F1313" s="76"/>
      <c r="G1313" s="76"/>
      <c r="H1313" s="76"/>
      <c r="I1313" s="76"/>
      <c r="J1313" s="76"/>
      <c r="K1313" s="76"/>
      <c r="L1313" s="76"/>
      <c r="M1313" s="76"/>
      <c r="N1313" s="76"/>
      <c r="O1313" s="76"/>
    </row>
    <row r="1314" spans="2:15">
      <c r="B1314" s="76"/>
      <c r="C1314" s="76"/>
      <c r="D1314" s="76"/>
      <c r="E1314" s="76"/>
      <c r="F1314" s="76"/>
      <c r="G1314" s="76"/>
      <c r="H1314" s="76"/>
      <c r="I1314" s="76"/>
      <c r="J1314" s="76"/>
      <c r="K1314" s="76"/>
      <c r="L1314" s="76"/>
      <c r="M1314" s="76"/>
      <c r="N1314" s="76"/>
      <c r="O1314" s="76"/>
    </row>
    <row r="1315" spans="2:15"/>
  </sheetData>
  <sheetProtection password="CC5B" sheet="1" objects="1" scenarios="1"/>
  <mergeCells count="9">
    <mergeCell ref="D27:K27"/>
    <mergeCell ref="D32:K32"/>
    <mergeCell ref="B7:L7"/>
    <mergeCell ref="N9:N10"/>
    <mergeCell ref="D9:K9"/>
    <mergeCell ref="D10:K10"/>
    <mergeCell ref="D11:K11"/>
    <mergeCell ref="D12:K12"/>
    <mergeCell ref="D15:K15"/>
  </mergeCells>
  <dataValidations count="1">
    <dataValidation type="decimal" allowBlank="1" showInputMessage="1" showErrorMessage="1" error="Print saja !" promptTitle="Peringatan" sqref="N49:XFD55 A1306:XFD1048576 A56:XFD1297 B1:L1 M1:M55 C47:L55 B47:B51 B53:B55 I41 N11:N48 O1:Q48 A1:A55 N1:N8">
      <formula1>-1</formula1>
      <formula2>-1</formula2>
    </dataValidation>
  </dataValidations>
  <pageMargins left="0.31496062992125984" right="0.31496062992125984" top="0.35433070866141736" bottom="0.35433070866141736" header="0.31496062992125984" footer="0.31496062992125984"/>
  <pageSetup paperSize="9" scale="92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V32"/>
  <sheetViews>
    <sheetView showGridLines="0" view="pageBreakPreview" zoomScale="85" zoomScaleNormal="85" zoomScaleSheetLayoutView="85" workbookViewId="0">
      <selection activeCell="N16" sqref="N16"/>
    </sheetView>
  </sheetViews>
  <sheetFormatPr defaultColWidth="9.1796875" defaultRowHeight="14"/>
  <cols>
    <col min="1" max="1" width="2.7265625" style="150" customWidth="1"/>
    <col min="2" max="2" width="4.26953125" style="150" customWidth="1"/>
    <col min="3" max="3" width="28.453125" style="150" customWidth="1"/>
    <col min="4" max="4" width="10.1796875" style="150" customWidth="1"/>
    <col min="5" max="22" width="8.7265625" style="150" customWidth="1"/>
    <col min="23" max="16384" width="9.1796875" style="150"/>
  </cols>
  <sheetData>
    <row r="1" spans="2:22" s="164" customFormat="1" ht="20">
      <c r="B1" s="447" t="s">
        <v>253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</row>
    <row r="2" spans="2:22" s="164" customFormat="1" ht="15" customHeight="1"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</row>
    <row r="3" spans="2:22" s="164" customFormat="1" ht="15" customHeight="1">
      <c r="D3" s="165" t="s">
        <v>13</v>
      </c>
      <c r="E3" s="165"/>
      <c r="F3" s="166" t="s">
        <v>67</v>
      </c>
      <c r="G3" s="167" t="str">
        <f>UPPER(Nama_Sekolah)</f>
        <v>SEKOLAH DASAR NEGERI 1 GIRIHARJO</v>
      </c>
      <c r="H3" s="168"/>
      <c r="I3" s="168"/>
      <c r="J3" s="168"/>
    </row>
    <row r="4" spans="2:22" s="164" customFormat="1">
      <c r="D4" s="165" t="s">
        <v>14</v>
      </c>
      <c r="E4" s="165"/>
      <c r="F4" s="166" t="s">
        <v>67</v>
      </c>
      <c r="G4" s="167" t="str">
        <f>NPSN</f>
        <v>20311583</v>
      </c>
      <c r="H4" s="168"/>
      <c r="I4" s="168"/>
      <c r="J4" s="168"/>
    </row>
    <row r="5" spans="2:22" s="164" customFormat="1">
      <c r="D5" s="165" t="s">
        <v>68</v>
      </c>
      <c r="E5" s="165"/>
      <c r="F5" s="166" t="s">
        <v>67</v>
      </c>
      <c r="G5" s="167" t="str">
        <f>Kecamatan&amp;", "&amp;Kabupaten&amp;", "&amp;Provinsi</f>
        <v>Puhpelem, Wonogiri, Jawa Tengah</v>
      </c>
      <c r="H5" s="168"/>
      <c r="I5" s="168"/>
      <c r="J5" s="168"/>
    </row>
    <row r="6" spans="2:22">
      <c r="L6" s="169"/>
      <c r="M6" s="169"/>
      <c r="N6" s="169"/>
      <c r="O6" s="169"/>
      <c r="P6" s="169"/>
    </row>
    <row r="7" spans="2:22">
      <c r="B7" s="595" t="s">
        <v>7</v>
      </c>
      <c r="C7" s="595" t="s">
        <v>115</v>
      </c>
      <c r="D7" s="598" t="s">
        <v>116</v>
      </c>
      <c r="E7" s="601" t="s">
        <v>117</v>
      </c>
      <c r="F7" s="601"/>
      <c r="G7" s="601"/>
      <c r="H7" s="601"/>
      <c r="I7" s="601"/>
      <c r="J7" s="601"/>
      <c r="K7" s="601"/>
      <c r="L7" s="601"/>
      <c r="M7" s="601"/>
      <c r="N7" s="601"/>
      <c r="O7" s="601"/>
      <c r="P7" s="601"/>
      <c r="Q7" s="601"/>
      <c r="R7" s="601"/>
      <c r="S7" s="601"/>
      <c r="T7" s="601"/>
      <c r="U7" s="601"/>
      <c r="V7" s="601"/>
    </row>
    <row r="8" spans="2:22">
      <c r="B8" s="596"/>
      <c r="C8" s="596"/>
      <c r="D8" s="599"/>
      <c r="E8" s="602" t="s">
        <v>118</v>
      </c>
      <c r="F8" s="603"/>
      <c r="G8" s="603"/>
      <c r="H8" s="603"/>
      <c r="I8" s="603"/>
      <c r="J8" s="604"/>
      <c r="K8" s="602" t="s">
        <v>118</v>
      </c>
      <c r="L8" s="603"/>
      <c r="M8" s="603"/>
      <c r="N8" s="603"/>
      <c r="O8" s="603"/>
      <c r="P8" s="604"/>
      <c r="Q8" s="602" t="s">
        <v>118</v>
      </c>
      <c r="R8" s="603"/>
      <c r="S8" s="603"/>
      <c r="T8" s="603"/>
      <c r="U8" s="603"/>
      <c r="V8" s="604"/>
    </row>
    <row r="9" spans="2:22" ht="15" customHeight="1">
      <c r="B9" s="596"/>
      <c r="C9" s="596"/>
      <c r="D9" s="599"/>
      <c r="E9" s="605" t="s">
        <v>0</v>
      </c>
      <c r="F9" s="605"/>
      <c r="G9" s="605"/>
      <c r="H9" s="605"/>
      <c r="I9" s="605"/>
      <c r="J9" s="605"/>
      <c r="K9" s="605" t="s">
        <v>3</v>
      </c>
      <c r="L9" s="605"/>
      <c r="M9" s="605"/>
      <c r="N9" s="605"/>
      <c r="O9" s="605"/>
      <c r="P9" s="605"/>
      <c r="Q9" s="605" t="s">
        <v>4</v>
      </c>
      <c r="R9" s="605"/>
      <c r="S9" s="605"/>
      <c r="T9" s="605"/>
      <c r="U9" s="605"/>
      <c r="V9" s="605"/>
    </row>
    <row r="10" spans="2:22">
      <c r="B10" s="597"/>
      <c r="C10" s="597"/>
      <c r="D10" s="600"/>
      <c r="E10" s="247" t="s">
        <v>119</v>
      </c>
      <c r="F10" s="247" t="s">
        <v>120</v>
      </c>
      <c r="G10" s="247" t="s">
        <v>121</v>
      </c>
      <c r="H10" s="247" t="s">
        <v>122</v>
      </c>
      <c r="I10" s="247" t="s">
        <v>123</v>
      </c>
      <c r="J10" s="248">
        <v>100</v>
      </c>
      <c r="K10" s="247" t="s">
        <v>119</v>
      </c>
      <c r="L10" s="247" t="s">
        <v>120</v>
      </c>
      <c r="M10" s="247" t="s">
        <v>121</v>
      </c>
      <c r="N10" s="247" t="s">
        <v>122</v>
      </c>
      <c r="O10" s="247" t="s">
        <v>123</v>
      </c>
      <c r="P10" s="248">
        <v>100</v>
      </c>
      <c r="Q10" s="247" t="s">
        <v>119</v>
      </c>
      <c r="R10" s="247" t="s">
        <v>120</v>
      </c>
      <c r="S10" s="247" t="s">
        <v>121</v>
      </c>
      <c r="T10" s="247" t="s">
        <v>122</v>
      </c>
      <c r="U10" s="247" t="s">
        <v>123</v>
      </c>
      <c r="V10" s="248">
        <v>100</v>
      </c>
    </row>
    <row r="11" spans="2:22">
      <c r="B11" s="249">
        <v>1</v>
      </c>
      <c r="C11" s="250" t="str">
        <f>Nama_Sekolah</f>
        <v>Sekolah Dasar Negeri 1 Giriharjo</v>
      </c>
      <c r="D11" s="251">
        <f>50-COUNTBLANK(Nama_siswa)</f>
        <v>0</v>
      </c>
      <c r="E11" s="252">
        <f>SUMPRODUCT((BI_Teori&gt;=1)*(BI_Teori&lt;=59.9))</f>
        <v>0</v>
      </c>
      <c r="F11" s="252">
        <f>SUMPRODUCT((BI_Teori&gt;=60)*(BI_Teori&lt;=69.9))</f>
        <v>0</v>
      </c>
      <c r="G11" s="252">
        <f>SUMPRODUCT((BI_Teori&gt;=70)*(BI_Teori&lt;=79.9))</f>
        <v>3</v>
      </c>
      <c r="H11" s="252">
        <f>SUMPRODUCT((BI_Teori&gt;=80)*(BI_Teori&lt;=89.9))</f>
        <v>12</v>
      </c>
      <c r="I11" s="252">
        <f>SUMPRODUCT((BI_Teori&gt;=90)*(BI_Teori&lt;=99.9))</f>
        <v>6</v>
      </c>
      <c r="J11" s="252">
        <f>SUMPRODUCT((BI_Teori&gt;=100)*(BI_Teori&lt;=100))</f>
        <v>0</v>
      </c>
      <c r="K11" s="252">
        <f>SUMPRODUCT((MAT_Teori&gt;=1)*(MAT_Teori&lt;=59.9))</f>
        <v>0</v>
      </c>
      <c r="L11" s="252">
        <f>SUMPRODUCT((MAT_Teori&gt;=60)*(MAT_Teori&lt;=69.9))</f>
        <v>7</v>
      </c>
      <c r="M11" s="252">
        <f>SUMPRODUCT((MAT_Teori&gt;=70)*(MAT_Teori&lt;=79.9))</f>
        <v>7</v>
      </c>
      <c r="N11" s="252">
        <f>SUMPRODUCT((MAT_Teori&gt;=80)*(MAT_Teori&lt;=89.9))</f>
        <v>2</v>
      </c>
      <c r="O11" s="252">
        <f>SUMPRODUCT((MAT_Teori&gt;=90)*(MAT_Teori&lt;=99.9))</f>
        <v>5</v>
      </c>
      <c r="P11" s="252">
        <f>SUMPRODUCT((MAT_Teori&gt;=100)*(MAT_Teori&lt;=100))</f>
        <v>0</v>
      </c>
      <c r="Q11" s="252">
        <f>SUMPRODUCT((IPA_Teori&gt;=1)*(IPA_Teori&lt;=59.9))</f>
        <v>0</v>
      </c>
      <c r="R11" s="252">
        <f>SUMPRODUCT((IPA_Teori&gt;=60)*(IPA_Teori&lt;=69.9))</f>
        <v>1</v>
      </c>
      <c r="S11" s="252">
        <f>SUMPRODUCT((IPA_Teori&gt;=70)*(IPA_Teori&lt;=79.9))</f>
        <v>7</v>
      </c>
      <c r="T11" s="252">
        <f>SUMPRODUCT((IPA_Teori&gt;=80)*(IPA_Teori&lt;=89.9))</f>
        <v>9</v>
      </c>
      <c r="U11" s="252">
        <f>SUMPRODUCT((IPA_Teori&gt;=90)*(IPA_Teori&lt;=99.9))</f>
        <v>4</v>
      </c>
      <c r="V11" s="252">
        <f>SUMPRODUCT((IPA_Teori&gt;=100)*(IPA_Teori&lt;=100))</f>
        <v>0</v>
      </c>
    </row>
    <row r="14" spans="2:22" ht="26.5" customHeight="1">
      <c r="N14" s="377" t="str">
        <f>Kabupaten&amp;", "&amp;TEXT(Tgl_rapor,"DD MMMM YYYY")</f>
        <v>Wonogiri, 15 Juni 2022</v>
      </c>
    </row>
    <row r="15" spans="2:22" ht="15.5">
      <c r="N15" s="330" t="str">
        <f>UPPER("Kepala "&amp;Nama_Sekolah)</f>
        <v>KEPALA SEKOLAH DASAR NEGERI 1 GIRIHARJO</v>
      </c>
    </row>
    <row r="16" spans="2:22" ht="15.75" customHeight="1">
      <c r="N16" s="330" t="str">
        <f>UPPER(Kab_Kota&amp;" "&amp;Kabupaten&amp;",")</f>
        <v>KABUPATEN WONOGIRI,</v>
      </c>
      <c r="O16" s="160"/>
      <c r="P16" s="160"/>
    </row>
    <row r="17" spans="1:16" ht="15.75" customHeight="1">
      <c r="N17" s="330"/>
      <c r="O17" s="160"/>
      <c r="P17" s="160"/>
    </row>
    <row r="18" spans="1:16" ht="15.5">
      <c r="N18" s="330"/>
      <c r="O18" s="160"/>
      <c r="P18" s="160"/>
    </row>
    <row r="19" spans="1:16" ht="15.5">
      <c r="N19" s="332">
        <f>Kepsek</f>
        <v>0</v>
      </c>
      <c r="O19" s="160"/>
      <c r="P19" s="160"/>
    </row>
    <row r="20" spans="1:16" ht="15.5">
      <c r="N20" s="334">
        <f>Pangkat_gol</f>
        <v>0</v>
      </c>
      <c r="O20" s="160"/>
      <c r="P20" s="160"/>
    </row>
    <row r="21" spans="1:16" ht="15.75" customHeight="1">
      <c r="N21" s="335">
        <f>NIP_Kepsek</f>
        <v>0</v>
      </c>
      <c r="O21" s="161"/>
      <c r="P21" s="161"/>
    </row>
    <row r="22" spans="1:16" ht="15.75" customHeight="1">
      <c r="N22" s="170"/>
      <c r="O22" s="160"/>
      <c r="P22" s="160"/>
    </row>
    <row r="23" spans="1:16" ht="15.5">
      <c r="N23" s="162"/>
    </row>
    <row r="24" spans="1:16" ht="15.5">
      <c r="N24" s="152"/>
    </row>
    <row r="32" spans="1:16" ht="14.5">
      <c r="A32" s="191" t="s">
        <v>134</v>
      </c>
    </row>
  </sheetData>
  <sheetProtection password="CC5B" sheet="1" objects="1" scenarios="1"/>
  <mergeCells count="11">
    <mergeCell ref="B1:V1"/>
    <mergeCell ref="B7:B10"/>
    <mergeCell ref="C7:C10"/>
    <mergeCell ref="D7:D10"/>
    <mergeCell ref="E7:V7"/>
    <mergeCell ref="E8:J8"/>
    <mergeCell ref="K8:P8"/>
    <mergeCell ref="Q8:V8"/>
    <mergeCell ref="E9:J9"/>
    <mergeCell ref="K9:P9"/>
    <mergeCell ref="Q9:V9"/>
  </mergeCells>
  <dataValidations count="1">
    <dataValidation type="decimal" allowBlank="1" showInputMessage="1" showErrorMessage="1" error="Print saja !" promptTitle="Peringatan" sqref="N21 N17:N19">
      <formula1>-1</formula1>
      <formula2>-1</formula2>
    </dataValidation>
  </dataValidations>
  <pageMargins left="0.31496062992125984" right="0.31496062992125984" top="0.74803149606299213" bottom="0.35433070866141736" header="0.31496062992125984" footer="0.31496062992125984"/>
  <pageSetup paperSize="5" scale="76" orientation="landscape" blackAndWhite="1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V32"/>
  <sheetViews>
    <sheetView showGridLines="0" zoomScale="70" zoomScaleNormal="70" zoomScaleSheetLayoutView="90" workbookViewId="0">
      <selection activeCell="J16" sqref="J16"/>
    </sheetView>
  </sheetViews>
  <sheetFormatPr defaultColWidth="9.1796875" defaultRowHeight="14"/>
  <cols>
    <col min="1" max="1" width="4.54296875" style="150" customWidth="1"/>
    <col min="2" max="2" width="4.26953125" style="150" customWidth="1"/>
    <col min="3" max="3" width="33.453125" style="150" customWidth="1"/>
    <col min="4" max="4" width="9.1796875" style="150"/>
    <col min="5" max="12" width="8.7265625" style="150" customWidth="1"/>
    <col min="13" max="13" width="10.26953125" style="150" customWidth="1"/>
    <col min="14" max="14" width="10.81640625" style="150" customWidth="1"/>
    <col min="15" max="15" width="10.7265625" style="150" customWidth="1"/>
    <col min="16" max="22" width="8.7265625" style="150" customWidth="1"/>
    <col min="23" max="16384" width="9.1796875" style="150"/>
  </cols>
  <sheetData>
    <row r="1" spans="2:22" s="164" customFormat="1" ht="20">
      <c r="B1" s="447" t="s">
        <v>252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163"/>
      <c r="Q1" s="163"/>
      <c r="R1" s="163"/>
      <c r="S1" s="163"/>
      <c r="T1" s="163"/>
      <c r="U1" s="163"/>
      <c r="V1" s="163"/>
    </row>
    <row r="2" spans="2:22" s="164" customFormat="1" ht="20"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63"/>
      <c r="Q2" s="163"/>
      <c r="R2" s="163"/>
      <c r="S2" s="163"/>
      <c r="T2" s="163"/>
      <c r="U2" s="163"/>
      <c r="V2" s="163"/>
    </row>
    <row r="3" spans="2:22" s="164" customFormat="1" ht="15" customHeight="1"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</row>
    <row r="4" spans="2:22" s="164" customFormat="1" ht="15" customHeight="1">
      <c r="C4" s="165" t="s">
        <v>13</v>
      </c>
      <c r="D4" s="166" t="s">
        <v>67</v>
      </c>
      <c r="E4" s="173" t="str">
        <f>UPPER(Nama_Sekolah)</f>
        <v>SEKOLAH DASAR NEGERI 1 GIRIHARJO</v>
      </c>
      <c r="J4" s="168"/>
    </row>
    <row r="5" spans="2:22" s="164" customFormat="1">
      <c r="C5" s="165" t="s">
        <v>14</v>
      </c>
      <c r="D5" s="166" t="s">
        <v>67</v>
      </c>
      <c r="E5" s="173" t="str">
        <f>NPSN</f>
        <v>20311583</v>
      </c>
      <c r="J5" s="168"/>
    </row>
    <row r="6" spans="2:22" s="164" customFormat="1">
      <c r="C6" s="165" t="s">
        <v>68</v>
      </c>
      <c r="D6" s="166" t="s">
        <v>67</v>
      </c>
      <c r="E6" s="173" t="str">
        <f>Kecamatan&amp;", "&amp;Kabupaten&amp;", "&amp;Provinsi</f>
        <v>Puhpelem, Wonogiri, Jawa Tengah</v>
      </c>
      <c r="J6" s="168"/>
    </row>
    <row r="7" spans="2:22">
      <c r="L7" s="169"/>
      <c r="M7" s="169"/>
      <c r="N7" s="169"/>
      <c r="O7" s="169"/>
      <c r="P7" s="169"/>
    </row>
    <row r="8" spans="2:22" customFormat="1" ht="15" customHeight="1">
      <c r="B8" s="606" t="s">
        <v>7</v>
      </c>
      <c r="C8" s="606" t="s">
        <v>115</v>
      </c>
      <c r="D8" s="609" t="s">
        <v>117</v>
      </c>
      <c r="E8" s="610"/>
      <c r="F8" s="610"/>
      <c r="G8" s="610"/>
      <c r="H8" s="610"/>
      <c r="I8" s="610"/>
      <c r="J8" s="610"/>
      <c r="K8" s="610"/>
      <c r="L8" s="610"/>
      <c r="M8" s="611" t="s">
        <v>9</v>
      </c>
      <c r="N8" s="611" t="s">
        <v>125</v>
      </c>
      <c r="O8" s="611" t="s">
        <v>126</v>
      </c>
    </row>
    <row r="9" spans="2:22" customFormat="1" ht="15" customHeight="1">
      <c r="B9" s="607"/>
      <c r="C9" s="607"/>
      <c r="D9" s="611" t="s">
        <v>0</v>
      </c>
      <c r="E9" s="611"/>
      <c r="F9" s="611"/>
      <c r="G9" s="611" t="s">
        <v>3</v>
      </c>
      <c r="H9" s="611"/>
      <c r="I9" s="611"/>
      <c r="J9" s="611" t="s">
        <v>4</v>
      </c>
      <c r="K9" s="611"/>
      <c r="L9" s="612"/>
      <c r="M9" s="611"/>
      <c r="N9" s="611"/>
      <c r="O9" s="611"/>
    </row>
    <row r="10" spans="2:22" customFormat="1" ht="14.5">
      <c r="B10" s="608"/>
      <c r="C10" s="608"/>
      <c r="D10" s="157" t="s">
        <v>127</v>
      </c>
      <c r="E10" s="157" t="s">
        <v>128</v>
      </c>
      <c r="F10" s="157" t="s">
        <v>129</v>
      </c>
      <c r="G10" s="157" t="s">
        <v>127</v>
      </c>
      <c r="H10" s="157" t="s">
        <v>128</v>
      </c>
      <c r="I10" s="157" t="s">
        <v>129</v>
      </c>
      <c r="J10" s="157" t="s">
        <v>127</v>
      </c>
      <c r="K10" s="157" t="s">
        <v>128</v>
      </c>
      <c r="L10" s="171" t="s">
        <v>129</v>
      </c>
      <c r="M10" s="611"/>
      <c r="N10" s="611"/>
      <c r="O10" s="611"/>
    </row>
    <row r="11" spans="2:22" customFormat="1" ht="30" customHeight="1">
      <c r="B11" s="158">
        <v>1</v>
      </c>
      <c r="C11" s="172" t="str">
        <f>Nama_Sekolah</f>
        <v>Sekolah Dasar Negeri 1 Giriharjo</v>
      </c>
      <c r="D11" s="159">
        <f>ROUND(MAX(BI_Teori),Digit)</f>
        <v>93</v>
      </c>
      <c r="E11" s="159">
        <f>ROUND(MIN(BI_Teori),Digit)</f>
        <v>71</v>
      </c>
      <c r="F11" s="159">
        <f>ROUND((IF(ISERROR(AVERAGE(BI_Teori)),"",AVERAGE(BI_Teori))),Digit)</f>
        <v>84.86</v>
      </c>
      <c r="G11" s="159">
        <f>ROUND(MAX(MAT_Teori),Digit)</f>
        <v>98</v>
      </c>
      <c r="H11" s="159">
        <f>ROUND(MIN(MAT_Teori),Digit)</f>
        <v>62</v>
      </c>
      <c r="I11" s="159">
        <f>ROUND(IF(ISERROR(AVERAGE(MAT_Teori)),"",AVERAGE(MAT_Teori)),Digit)</f>
        <v>77.239999999999995</v>
      </c>
      <c r="J11" s="159">
        <f>ROUND(MAX(IPA_Teori),Digit)</f>
        <v>97</v>
      </c>
      <c r="K11" s="159">
        <f>ROUND(MIN(IPA_Teori),Digit)</f>
        <v>68</v>
      </c>
      <c r="L11" s="159">
        <f>ROUND(IF(ISERROR(AVERAGE(IPA_Teori)),"",AVERAGE(IPA_Teori)),Digit)</f>
        <v>82.48</v>
      </c>
      <c r="M11" s="159">
        <f>ROUND(SUM(F11,I11,L11),Digit)</f>
        <v>244.58</v>
      </c>
      <c r="N11" s="159">
        <f>ROUND(M11/3,Digit)</f>
        <v>81.53</v>
      </c>
      <c r="O11" s="159"/>
    </row>
    <row r="14" spans="2:22" ht="15.5">
      <c r="J14" s="330" t="str">
        <f>Kabupaten&amp;", "&amp;TEXT(Tgl_rapor,"DD MMMM YYYY")</f>
        <v>Wonogiri, 15 Juni 2022</v>
      </c>
    </row>
    <row r="15" spans="2:22" ht="15.5">
      <c r="J15" s="330" t="str">
        <f>UPPER("Kepala "&amp;Nama_Sekolah)</f>
        <v>KEPALA SEKOLAH DASAR NEGERI 1 GIRIHARJO</v>
      </c>
    </row>
    <row r="16" spans="2:22" ht="15.75" customHeight="1">
      <c r="J16" s="330" t="str">
        <f>UPPER(Kab_Kota&amp;" "&amp;Kabupaten&amp;",")</f>
        <v>KABUPATEN WONOGIRI,</v>
      </c>
      <c r="O16" s="160"/>
      <c r="P16" s="160"/>
    </row>
    <row r="17" spans="1:16" ht="15.75" customHeight="1">
      <c r="J17" s="330"/>
      <c r="O17" s="160"/>
      <c r="P17" s="160"/>
    </row>
    <row r="18" spans="1:16" ht="15.5">
      <c r="J18" s="330"/>
      <c r="O18" s="160"/>
      <c r="P18" s="160"/>
    </row>
    <row r="19" spans="1:16" ht="15.5">
      <c r="J19" s="332">
        <f>Kepsek</f>
        <v>0</v>
      </c>
      <c r="O19" s="160"/>
      <c r="P19" s="160"/>
    </row>
    <row r="20" spans="1:16" ht="15.5">
      <c r="J20" s="334">
        <f>Pangkat_gol</f>
        <v>0</v>
      </c>
      <c r="O20" s="160"/>
      <c r="P20" s="160"/>
    </row>
    <row r="21" spans="1:16" ht="15.75" customHeight="1">
      <c r="J21" s="335">
        <f>NIP_Kepsek</f>
        <v>0</v>
      </c>
      <c r="O21" s="161"/>
      <c r="P21" s="161"/>
    </row>
    <row r="22" spans="1:16" ht="15.75" customHeight="1">
      <c r="O22" s="160"/>
      <c r="P22" s="160"/>
    </row>
    <row r="23" spans="1:16" ht="15.5">
      <c r="N23" s="162"/>
    </row>
    <row r="24" spans="1:16" ht="15.5">
      <c r="N24" s="152"/>
    </row>
    <row r="25" spans="1:16">
      <c r="B25" s="150" t="s">
        <v>134</v>
      </c>
    </row>
    <row r="32" spans="1:16" ht="14.5">
      <c r="A32" s="191" t="s">
        <v>134</v>
      </c>
    </row>
  </sheetData>
  <sheetProtection password="CC5B" sheet="1" objects="1" scenarios="1"/>
  <mergeCells count="10">
    <mergeCell ref="B1:O1"/>
    <mergeCell ref="B8:B10"/>
    <mergeCell ref="C8:C10"/>
    <mergeCell ref="D8:L8"/>
    <mergeCell ref="M8:M10"/>
    <mergeCell ref="N8:N10"/>
    <mergeCell ref="O8:O10"/>
    <mergeCell ref="D9:F9"/>
    <mergeCell ref="G9:I9"/>
    <mergeCell ref="J9:L9"/>
  </mergeCells>
  <dataValidations count="1">
    <dataValidation type="decimal" allowBlank="1" showInputMessage="1" showErrorMessage="1" error="Print saja !" promptTitle="Peringatan" sqref="J21 J17:J19">
      <formula1>-1</formula1>
      <formula2>-1</formula2>
    </dataValidation>
  </dataValidations>
  <pageMargins left="0.51181102362204722" right="0.51181102362204722" top="0.74803149606299213" bottom="0.55118110236220474" header="0.31496062992125984" footer="0.31496062992125984"/>
  <pageSetup paperSize="5" scale="93" orientation="landscape" blackAndWhite="1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Q72"/>
  <sheetViews>
    <sheetView showGridLines="0" workbookViewId="0">
      <selection activeCell="P63" sqref="P63"/>
    </sheetView>
  </sheetViews>
  <sheetFormatPr defaultColWidth="0" defaultRowHeight="15.5"/>
  <cols>
    <col min="1" max="1" width="3.7265625" style="1" customWidth="1"/>
    <col min="2" max="2" width="5.26953125" style="1" customWidth="1"/>
    <col min="3" max="3" width="6.1796875" style="1" customWidth="1"/>
    <col min="4" max="4" width="40.1796875" style="1" customWidth="1"/>
    <col min="5" max="12" width="4.7265625" style="206" customWidth="1"/>
    <col min="13" max="13" width="5.1796875" style="206" customWidth="1"/>
    <col min="14" max="14" width="13.81640625" style="206" customWidth="1"/>
    <col min="15" max="19" width="4.7265625" style="206" customWidth="1"/>
    <col min="20" max="20" width="7" style="206" customWidth="1"/>
    <col min="21" max="21" width="5.1796875" style="206" customWidth="1"/>
    <col min="22" max="22" width="13.81640625" style="206" customWidth="1"/>
    <col min="23" max="23" width="2.81640625" style="1" customWidth="1"/>
    <col min="24" max="24" width="8.453125" style="1" customWidth="1"/>
    <col min="25" max="25" width="5" style="1" customWidth="1"/>
    <col min="26" max="27" width="8.453125" style="1" hidden="1" customWidth="1"/>
    <col min="28" max="28" width="3.26953125" style="1" hidden="1" customWidth="1"/>
    <col min="29" max="29" width="2.1796875" style="1" hidden="1" customWidth="1"/>
    <col min="30" max="30" width="9.1796875" style="1" hidden="1" customWidth="1"/>
    <col min="31" max="31" width="19" style="1" hidden="1" customWidth="1"/>
    <col min="32" max="32" width="9.1796875" style="1" hidden="1" customWidth="1"/>
    <col min="33" max="40" width="0" style="1" hidden="1" customWidth="1"/>
    <col min="41" max="41" width="2.1796875" style="1" hidden="1" customWidth="1"/>
    <col min="42" max="42" width="9.1796875" style="1" hidden="1" customWidth="1"/>
    <col min="43" max="43" width="19" style="1" hidden="1" customWidth="1"/>
    <col min="44" max="16384" width="9.1796875" style="1" hidden="1"/>
  </cols>
  <sheetData>
    <row r="1" spans="2:32" ht="20">
      <c r="B1" s="447"/>
      <c r="C1" s="447"/>
      <c r="D1" s="447"/>
    </row>
    <row r="2" spans="2:32" ht="20">
      <c r="B2" s="447" t="s">
        <v>155</v>
      </c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</row>
    <row r="3" spans="2:32" ht="15" customHeight="1">
      <c r="B3" s="31"/>
      <c r="C3" s="31"/>
      <c r="D3" s="31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</row>
    <row r="4" spans="2:32" ht="15" customHeight="1">
      <c r="D4" s="27" t="s">
        <v>13</v>
      </c>
      <c r="E4" s="27"/>
      <c r="F4" s="29" t="s">
        <v>67</v>
      </c>
      <c r="G4" s="28" t="str">
        <f>UPPER(Nama_Sekolah)</f>
        <v>SEKOLAH DASAR NEGERI 1 GIRIHARJO</v>
      </c>
      <c r="H4" s="30"/>
      <c r="I4" s="30"/>
      <c r="J4" s="30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</row>
    <row r="5" spans="2:32">
      <c r="D5" s="27" t="s">
        <v>14</v>
      </c>
      <c r="E5" s="27"/>
      <c r="F5" s="29" t="s">
        <v>67</v>
      </c>
      <c r="G5" s="28" t="str">
        <f>NPSN</f>
        <v>20311583</v>
      </c>
      <c r="H5" s="30"/>
      <c r="I5" s="30"/>
      <c r="J5" s="30"/>
    </row>
    <row r="6" spans="2:32" ht="15.75" customHeight="1">
      <c r="D6" s="27" t="s">
        <v>68</v>
      </c>
      <c r="E6" s="27"/>
      <c r="F6" s="29" t="s">
        <v>67</v>
      </c>
      <c r="G6" s="28" t="str">
        <f>Kecamatan&amp;", "&amp;Kabupaten&amp;", "&amp;Provinsi</f>
        <v>Puhpelem, Wonogiri, Jawa Tengah</v>
      </c>
      <c r="H6" s="30"/>
      <c r="I6" s="30"/>
      <c r="J6" s="30"/>
    </row>
    <row r="7" spans="2:32" ht="9" customHeight="1">
      <c r="D7" s="21"/>
    </row>
    <row r="8" spans="2:32" ht="17.25" customHeight="1">
      <c r="B8" s="459" t="s">
        <v>7</v>
      </c>
      <c r="C8" s="617" t="s">
        <v>43</v>
      </c>
      <c r="D8" s="459" t="s">
        <v>8</v>
      </c>
      <c r="E8" s="623" t="s">
        <v>138</v>
      </c>
      <c r="F8" s="624"/>
      <c r="G8" s="624"/>
      <c r="H8" s="624"/>
      <c r="I8" s="624"/>
      <c r="J8" s="624"/>
      <c r="K8" s="625"/>
      <c r="L8" s="620" t="s">
        <v>153</v>
      </c>
      <c r="M8" s="620" t="s">
        <v>101</v>
      </c>
      <c r="N8" s="620" t="s">
        <v>139</v>
      </c>
      <c r="O8" s="623" t="s">
        <v>140</v>
      </c>
      <c r="P8" s="624"/>
      <c r="Q8" s="624"/>
      <c r="R8" s="624"/>
      <c r="S8" s="625"/>
      <c r="T8" s="620" t="s">
        <v>154</v>
      </c>
      <c r="U8" s="620" t="s">
        <v>101</v>
      </c>
      <c r="V8" s="620" t="s">
        <v>139</v>
      </c>
    </row>
    <row r="9" spans="2:32" ht="17.25" customHeight="1">
      <c r="B9" s="460"/>
      <c r="C9" s="618"/>
      <c r="D9" s="460"/>
      <c r="E9" s="212">
        <v>5</v>
      </c>
      <c r="F9" s="212">
        <v>5</v>
      </c>
      <c r="G9" s="212">
        <v>5</v>
      </c>
      <c r="H9" s="212">
        <v>5</v>
      </c>
      <c r="I9" s="212">
        <v>5</v>
      </c>
      <c r="J9" s="212">
        <v>5</v>
      </c>
      <c r="K9" s="212">
        <v>5</v>
      </c>
      <c r="L9" s="621"/>
      <c r="M9" s="621"/>
      <c r="N9" s="621"/>
      <c r="O9" s="212">
        <v>5</v>
      </c>
      <c r="P9" s="212">
        <v>5</v>
      </c>
      <c r="Q9" s="212">
        <v>5</v>
      </c>
      <c r="R9" s="212">
        <v>5</v>
      </c>
      <c r="S9" s="212">
        <v>5</v>
      </c>
      <c r="T9" s="621"/>
      <c r="U9" s="621"/>
      <c r="V9" s="621"/>
    </row>
    <row r="10" spans="2:32" ht="83.25" customHeight="1" thickBot="1">
      <c r="B10" s="616"/>
      <c r="C10" s="619"/>
      <c r="D10" s="616"/>
      <c r="E10" s="211" t="s">
        <v>141</v>
      </c>
      <c r="F10" s="211" t="s">
        <v>142</v>
      </c>
      <c r="G10" s="211" t="s">
        <v>143</v>
      </c>
      <c r="H10" s="211" t="s">
        <v>144</v>
      </c>
      <c r="I10" s="211" t="s">
        <v>145</v>
      </c>
      <c r="J10" s="211" t="s">
        <v>146</v>
      </c>
      <c r="K10" s="211" t="s">
        <v>147</v>
      </c>
      <c r="L10" s="622"/>
      <c r="M10" s="622"/>
      <c r="N10" s="622"/>
      <c r="O10" s="211" t="s">
        <v>148</v>
      </c>
      <c r="P10" s="211" t="s">
        <v>149</v>
      </c>
      <c r="Q10" s="211" t="s">
        <v>150</v>
      </c>
      <c r="R10" s="211" t="s">
        <v>151</v>
      </c>
      <c r="S10" s="211" t="s">
        <v>152</v>
      </c>
      <c r="T10" s="622"/>
      <c r="U10" s="622"/>
      <c r="V10" s="622"/>
      <c r="X10" s="210" t="s">
        <v>71</v>
      </c>
      <c r="Y10" s="209"/>
      <c r="Z10" s="209"/>
      <c r="AA10" s="209"/>
    </row>
    <row r="11" spans="2:32" ht="16" thickTop="1">
      <c r="B11" s="25">
        <v>1</v>
      </c>
      <c r="C11" s="25" t="str">
        <f>'Data Siswa'!C4&amp;""</f>
        <v>2887</v>
      </c>
      <c r="D11" s="26" t="str">
        <f>'Data Siswa'!F4&amp;""</f>
        <v/>
      </c>
      <c r="E11" s="261">
        <v>4</v>
      </c>
      <c r="F11" s="261">
        <v>4</v>
      </c>
      <c r="G11" s="261">
        <v>4</v>
      </c>
      <c r="H11" s="261">
        <v>4</v>
      </c>
      <c r="I11" s="261">
        <v>4</v>
      </c>
      <c r="J11" s="261">
        <v>4</v>
      </c>
      <c r="K11" s="261">
        <v>4</v>
      </c>
      <c r="L11" s="262">
        <f>IF(SUM(E11:K11)=0,"",SUM(E11:K11))</f>
        <v>28</v>
      </c>
      <c r="M11" s="263">
        <f>IFERROR(Z11,"")</f>
        <v>4</v>
      </c>
      <c r="N11" s="263" t="str">
        <f>IFERROR(IF(Z11&gt;4.6,"A (Baik sekali)",IF(Z11&gt;3.6,"B (Baik)",IF(Z11&gt;2.6,"C (Cukup)",IF(Z11&gt;1.6,"D (Kurang)",IF(Z11&gt;1,"E (Kurang sekali)",""))))),"")</f>
        <v>B (Baik)</v>
      </c>
      <c r="O11" s="261">
        <v>4</v>
      </c>
      <c r="P11" s="261">
        <v>4</v>
      </c>
      <c r="Q11" s="261">
        <v>4</v>
      </c>
      <c r="R11" s="261">
        <v>4</v>
      </c>
      <c r="S11" s="261">
        <v>4</v>
      </c>
      <c r="T11" s="262">
        <f>IF(SUM(O11:S11)=0,"",SUM(O11:S11))</f>
        <v>20</v>
      </c>
      <c r="U11" s="263">
        <f>IFERROR(AA11,"")</f>
        <v>4</v>
      </c>
      <c r="V11" s="263" t="str">
        <f>IFERROR(IF(AA11&gt;4.6,"A (Baik sekali)",IF(AA11&gt;3.6,"B (Baik)",IF(AA11&gt;2.6,"C (Cukup)",IF(AA11&gt;1.6,"D (Kurang)",IF(AA11&gt;1,"E (Kurang sekali)",""))))),"")</f>
        <v>B (Baik)</v>
      </c>
      <c r="W11" s="19"/>
      <c r="X11" s="35" t="str">
        <f>IF(D11="","Kosong","Data")</f>
        <v>Kosong</v>
      </c>
      <c r="Y11" s="35"/>
      <c r="Z11" s="208">
        <f t="shared" ref="Z11:Z42" si="0">AVERAGE(E11:K11)</f>
        <v>4</v>
      </c>
      <c r="AA11" s="208">
        <f t="shared" ref="AA11:AA42" si="1">AVERAGE(M11:S11)</f>
        <v>4</v>
      </c>
    </row>
    <row r="12" spans="2:32">
      <c r="B12" s="7">
        <v>2</v>
      </c>
      <c r="C12" s="7" t="str">
        <f>'Data Siswa'!C5&amp;""</f>
        <v>2888</v>
      </c>
      <c r="D12" s="11" t="str">
        <f>'Data Siswa'!F5&amp;""</f>
        <v/>
      </c>
      <c r="E12" s="261">
        <v>4</v>
      </c>
      <c r="F12" s="261">
        <v>4</v>
      </c>
      <c r="G12" s="261">
        <v>4</v>
      </c>
      <c r="H12" s="261">
        <v>4</v>
      </c>
      <c r="I12" s="261">
        <v>4</v>
      </c>
      <c r="J12" s="261">
        <v>4</v>
      </c>
      <c r="K12" s="261">
        <v>4</v>
      </c>
      <c r="L12" s="264">
        <f t="shared" ref="L12:L60" si="2">IF(SUM(E12:K12)=0,"",SUM(E12:K12))</f>
        <v>28</v>
      </c>
      <c r="M12" s="260">
        <f t="shared" ref="M12:M60" si="3">IFERROR(Z12,"")</f>
        <v>4</v>
      </c>
      <c r="N12" s="260" t="str">
        <f t="shared" ref="N12:N60" si="4">IFERROR(IF(Z12&gt;4.6,"A (Baik sekali)",IF(Z12&gt;3.6,"B (Baik)",IF(Z12&gt;2.6,"C (Cukup)",IF(Z12&gt;1.6,"D (Kurang)",IF(Z12&gt;1,"E (Kurang sekali)",""))))),"")</f>
        <v>B (Baik)</v>
      </c>
      <c r="O12" s="261">
        <v>4</v>
      </c>
      <c r="P12" s="261">
        <v>4</v>
      </c>
      <c r="Q12" s="261">
        <v>4</v>
      </c>
      <c r="R12" s="261">
        <v>4</v>
      </c>
      <c r="S12" s="261">
        <v>4</v>
      </c>
      <c r="T12" s="264">
        <f t="shared" ref="T12:T60" si="5">IF(SUM(O12:S12)=0,"",SUM(O12:S12))</f>
        <v>20</v>
      </c>
      <c r="U12" s="260">
        <f t="shared" ref="U12:U60" si="6">IFERROR(AA12,"")</f>
        <v>4</v>
      </c>
      <c r="V12" s="260" t="str">
        <f t="shared" ref="V12:V60" si="7">IFERROR(IF(AA12=5,"A (Baik sekali)",IF(AA12&gt;3.6,"B (Baik)",IF(AA12&gt;2.6,"C (Cukup)",IF(AA12&gt;1.6,"D (Kurang)",IF(AA12&gt;1,"E (Kurang sekali)",""))))),"")</f>
        <v>B (Baik)</v>
      </c>
      <c r="X12" s="35" t="str">
        <f t="shared" ref="X12:X60" si="8">IF(D12="","Kosong","Data")</f>
        <v>Kosong</v>
      </c>
      <c r="Y12" s="35"/>
      <c r="Z12" s="208">
        <f t="shared" si="0"/>
        <v>4</v>
      </c>
      <c r="AA12" s="208">
        <f t="shared" si="1"/>
        <v>4</v>
      </c>
      <c r="AE12" s="4" t="s">
        <v>46</v>
      </c>
      <c r="AF12" s="5"/>
    </row>
    <row r="13" spans="2:32">
      <c r="B13" s="7">
        <v>3</v>
      </c>
      <c r="C13" s="7" t="str">
        <f>'Data Siswa'!C6&amp;""</f>
        <v>2886</v>
      </c>
      <c r="D13" s="11" t="str">
        <f>'Data Siswa'!F6&amp;""</f>
        <v/>
      </c>
      <c r="E13" s="261">
        <v>4</v>
      </c>
      <c r="F13" s="261">
        <v>4</v>
      </c>
      <c r="G13" s="261">
        <v>4</v>
      </c>
      <c r="H13" s="261">
        <v>4</v>
      </c>
      <c r="I13" s="261">
        <v>4</v>
      </c>
      <c r="J13" s="261">
        <v>4</v>
      </c>
      <c r="K13" s="261">
        <v>4</v>
      </c>
      <c r="L13" s="264">
        <f t="shared" si="2"/>
        <v>28</v>
      </c>
      <c r="M13" s="260">
        <f t="shared" si="3"/>
        <v>4</v>
      </c>
      <c r="N13" s="260" t="str">
        <f t="shared" si="4"/>
        <v>B (Baik)</v>
      </c>
      <c r="O13" s="261">
        <v>4</v>
      </c>
      <c r="P13" s="261">
        <v>4</v>
      </c>
      <c r="Q13" s="261">
        <v>4</v>
      </c>
      <c r="R13" s="261">
        <v>4</v>
      </c>
      <c r="S13" s="261">
        <v>4</v>
      </c>
      <c r="T13" s="264">
        <f t="shared" si="5"/>
        <v>20</v>
      </c>
      <c r="U13" s="260">
        <f t="shared" si="6"/>
        <v>4</v>
      </c>
      <c r="V13" s="260" t="str">
        <f t="shared" si="7"/>
        <v>B (Baik)</v>
      </c>
      <c r="X13" s="35" t="str">
        <f t="shared" si="8"/>
        <v>Kosong</v>
      </c>
      <c r="Y13" s="35"/>
      <c r="Z13" s="208">
        <f t="shared" si="0"/>
        <v>4</v>
      </c>
      <c r="AA13" s="208">
        <f t="shared" si="1"/>
        <v>4</v>
      </c>
      <c r="AE13" s="6" t="s">
        <v>44</v>
      </c>
      <c r="AF13" s="2">
        <f>PENGATURAN!K5</f>
        <v>10</v>
      </c>
    </row>
    <row r="14" spans="2:32">
      <c r="B14" s="7">
        <v>4</v>
      </c>
      <c r="C14" s="7" t="str">
        <f>'Data Siswa'!C7&amp;""</f>
        <v>2864</v>
      </c>
      <c r="D14" s="11" t="str">
        <f>'Data Siswa'!F7&amp;""</f>
        <v/>
      </c>
      <c r="E14" s="261">
        <v>4</v>
      </c>
      <c r="F14" s="261">
        <v>4</v>
      </c>
      <c r="G14" s="261">
        <v>4</v>
      </c>
      <c r="H14" s="261">
        <v>4</v>
      </c>
      <c r="I14" s="261">
        <v>4</v>
      </c>
      <c r="J14" s="261">
        <v>4</v>
      </c>
      <c r="K14" s="261">
        <v>4</v>
      </c>
      <c r="L14" s="264">
        <f t="shared" si="2"/>
        <v>28</v>
      </c>
      <c r="M14" s="260">
        <f t="shared" si="3"/>
        <v>4</v>
      </c>
      <c r="N14" s="260" t="str">
        <f t="shared" si="4"/>
        <v>B (Baik)</v>
      </c>
      <c r="O14" s="261">
        <v>4</v>
      </c>
      <c r="P14" s="261">
        <v>4</v>
      </c>
      <c r="Q14" s="261">
        <v>4</v>
      </c>
      <c r="R14" s="261">
        <v>4</v>
      </c>
      <c r="S14" s="261">
        <v>4</v>
      </c>
      <c r="T14" s="264">
        <f t="shared" si="5"/>
        <v>20</v>
      </c>
      <c r="U14" s="260">
        <f t="shared" si="6"/>
        <v>4</v>
      </c>
      <c r="V14" s="260" t="str">
        <f t="shared" si="7"/>
        <v>B (Baik)</v>
      </c>
      <c r="X14" s="35" t="str">
        <f t="shared" si="8"/>
        <v>Kosong</v>
      </c>
      <c r="Y14" s="35"/>
      <c r="Z14" s="208">
        <f t="shared" si="0"/>
        <v>4</v>
      </c>
      <c r="AA14" s="208">
        <f t="shared" si="1"/>
        <v>4</v>
      </c>
      <c r="AE14" s="6" t="s">
        <v>45</v>
      </c>
      <c r="AF14" s="2">
        <f>PENGATURAN!K6</f>
        <v>100</v>
      </c>
    </row>
    <row r="15" spans="2:32">
      <c r="B15" s="7">
        <v>5</v>
      </c>
      <c r="C15" s="7" t="str">
        <f>'Data Siswa'!C8&amp;""</f>
        <v>2890</v>
      </c>
      <c r="D15" s="11" t="str">
        <f>'Data Siswa'!F8&amp;""</f>
        <v/>
      </c>
      <c r="E15" s="261">
        <v>4</v>
      </c>
      <c r="F15" s="261">
        <v>4</v>
      </c>
      <c r="G15" s="261">
        <v>4</v>
      </c>
      <c r="H15" s="261">
        <v>4</v>
      </c>
      <c r="I15" s="261">
        <v>4</v>
      </c>
      <c r="J15" s="261">
        <v>4</v>
      </c>
      <c r="K15" s="261">
        <v>4</v>
      </c>
      <c r="L15" s="264">
        <f t="shared" si="2"/>
        <v>28</v>
      </c>
      <c r="M15" s="260">
        <f t="shared" si="3"/>
        <v>4</v>
      </c>
      <c r="N15" s="260" t="str">
        <f t="shared" si="4"/>
        <v>B (Baik)</v>
      </c>
      <c r="O15" s="261">
        <v>4</v>
      </c>
      <c r="P15" s="261">
        <v>4</v>
      </c>
      <c r="Q15" s="261">
        <v>4</v>
      </c>
      <c r="R15" s="261">
        <v>4</v>
      </c>
      <c r="S15" s="261">
        <v>4</v>
      </c>
      <c r="T15" s="264">
        <f t="shared" si="5"/>
        <v>20</v>
      </c>
      <c r="U15" s="260">
        <f t="shared" si="6"/>
        <v>4</v>
      </c>
      <c r="V15" s="260" t="str">
        <f t="shared" si="7"/>
        <v>B (Baik)</v>
      </c>
      <c r="X15" s="35" t="str">
        <f t="shared" si="8"/>
        <v>Kosong</v>
      </c>
      <c r="Y15" s="35"/>
      <c r="Z15" s="208">
        <f t="shared" si="0"/>
        <v>4</v>
      </c>
      <c r="AA15" s="208">
        <f t="shared" si="1"/>
        <v>4</v>
      </c>
    </row>
    <row r="16" spans="2:32">
      <c r="B16" s="7">
        <v>6</v>
      </c>
      <c r="C16" s="7" t="str">
        <f>'Data Siswa'!C9&amp;""</f>
        <v>2889</v>
      </c>
      <c r="D16" s="11" t="str">
        <f>'Data Siswa'!F9&amp;""</f>
        <v/>
      </c>
      <c r="E16" s="261">
        <v>4</v>
      </c>
      <c r="F16" s="261">
        <v>4</v>
      </c>
      <c r="G16" s="261">
        <v>4</v>
      </c>
      <c r="H16" s="261">
        <v>4</v>
      </c>
      <c r="I16" s="261">
        <v>4</v>
      </c>
      <c r="J16" s="261">
        <v>4</v>
      </c>
      <c r="K16" s="261">
        <v>4</v>
      </c>
      <c r="L16" s="264">
        <f t="shared" si="2"/>
        <v>28</v>
      </c>
      <c r="M16" s="260">
        <f t="shared" si="3"/>
        <v>4</v>
      </c>
      <c r="N16" s="260" t="str">
        <f t="shared" si="4"/>
        <v>B (Baik)</v>
      </c>
      <c r="O16" s="261">
        <v>4</v>
      </c>
      <c r="P16" s="261">
        <v>4</v>
      </c>
      <c r="Q16" s="261">
        <v>4</v>
      </c>
      <c r="R16" s="261">
        <v>4</v>
      </c>
      <c r="S16" s="261">
        <v>4</v>
      </c>
      <c r="T16" s="264">
        <f t="shared" si="5"/>
        <v>20</v>
      </c>
      <c r="U16" s="260">
        <f t="shared" si="6"/>
        <v>4</v>
      </c>
      <c r="V16" s="260" t="str">
        <f t="shared" si="7"/>
        <v>B (Baik)</v>
      </c>
      <c r="X16" s="35" t="str">
        <f t="shared" si="8"/>
        <v>Kosong</v>
      </c>
      <c r="Y16" s="35"/>
      <c r="Z16" s="208">
        <f t="shared" si="0"/>
        <v>4</v>
      </c>
      <c r="AA16" s="208">
        <f t="shared" si="1"/>
        <v>4</v>
      </c>
    </row>
    <row r="17" spans="2:27">
      <c r="B17" s="7">
        <v>7</v>
      </c>
      <c r="C17" s="7" t="str">
        <f>'Data Siswa'!C10&amp;""</f>
        <v>2891</v>
      </c>
      <c r="D17" s="11" t="str">
        <f>'Data Siswa'!F10&amp;""</f>
        <v/>
      </c>
      <c r="E17" s="261">
        <v>4</v>
      </c>
      <c r="F17" s="261">
        <v>4</v>
      </c>
      <c r="G17" s="261">
        <v>4</v>
      </c>
      <c r="H17" s="261">
        <v>4</v>
      </c>
      <c r="I17" s="261">
        <v>4</v>
      </c>
      <c r="J17" s="261">
        <v>4</v>
      </c>
      <c r="K17" s="261">
        <v>4</v>
      </c>
      <c r="L17" s="264">
        <f t="shared" si="2"/>
        <v>28</v>
      </c>
      <c r="M17" s="260">
        <f t="shared" si="3"/>
        <v>4</v>
      </c>
      <c r="N17" s="260" t="str">
        <f t="shared" si="4"/>
        <v>B (Baik)</v>
      </c>
      <c r="O17" s="261">
        <v>4</v>
      </c>
      <c r="P17" s="261">
        <v>4</v>
      </c>
      <c r="Q17" s="261">
        <v>4</v>
      </c>
      <c r="R17" s="261">
        <v>4</v>
      </c>
      <c r="S17" s="261">
        <v>4</v>
      </c>
      <c r="T17" s="264">
        <f t="shared" si="5"/>
        <v>20</v>
      </c>
      <c r="U17" s="260">
        <f t="shared" si="6"/>
        <v>4</v>
      </c>
      <c r="V17" s="260" t="str">
        <f t="shared" si="7"/>
        <v>B (Baik)</v>
      </c>
      <c r="X17" s="35" t="str">
        <f t="shared" si="8"/>
        <v>Kosong</v>
      </c>
      <c r="Y17" s="35"/>
      <c r="Z17" s="208">
        <f t="shared" si="0"/>
        <v>4</v>
      </c>
      <c r="AA17" s="208">
        <f t="shared" si="1"/>
        <v>4</v>
      </c>
    </row>
    <row r="18" spans="2:27">
      <c r="B18" s="7">
        <v>8</v>
      </c>
      <c r="C18" s="7" t="str">
        <f>'Data Siswa'!C11&amp;""</f>
        <v>2893</v>
      </c>
      <c r="D18" s="11" t="str">
        <f>'Data Siswa'!F11&amp;""</f>
        <v/>
      </c>
      <c r="E18" s="261">
        <v>4</v>
      </c>
      <c r="F18" s="261">
        <v>4</v>
      </c>
      <c r="G18" s="261">
        <v>4</v>
      </c>
      <c r="H18" s="261">
        <v>4</v>
      </c>
      <c r="I18" s="261">
        <v>4</v>
      </c>
      <c r="J18" s="261">
        <v>4</v>
      </c>
      <c r="K18" s="261">
        <v>4</v>
      </c>
      <c r="L18" s="264">
        <f t="shared" si="2"/>
        <v>28</v>
      </c>
      <c r="M18" s="260">
        <f t="shared" si="3"/>
        <v>4</v>
      </c>
      <c r="N18" s="260" t="str">
        <f t="shared" si="4"/>
        <v>B (Baik)</v>
      </c>
      <c r="O18" s="261">
        <v>4</v>
      </c>
      <c r="P18" s="261">
        <v>4</v>
      </c>
      <c r="Q18" s="261">
        <v>4</v>
      </c>
      <c r="R18" s="261">
        <v>4</v>
      </c>
      <c r="S18" s="261">
        <v>4</v>
      </c>
      <c r="T18" s="264">
        <f t="shared" si="5"/>
        <v>20</v>
      </c>
      <c r="U18" s="260">
        <f t="shared" si="6"/>
        <v>4</v>
      </c>
      <c r="V18" s="260" t="str">
        <f t="shared" si="7"/>
        <v>B (Baik)</v>
      </c>
      <c r="X18" s="35" t="str">
        <f t="shared" si="8"/>
        <v>Kosong</v>
      </c>
      <c r="Y18" s="35"/>
      <c r="Z18" s="208">
        <f t="shared" si="0"/>
        <v>4</v>
      </c>
      <c r="AA18" s="208">
        <f t="shared" si="1"/>
        <v>4</v>
      </c>
    </row>
    <row r="19" spans="2:27">
      <c r="B19" s="7">
        <v>9</v>
      </c>
      <c r="C19" s="7" t="str">
        <f>'Data Siswa'!C12&amp;""</f>
        <v>2892</v>
      </c>
      <c r="D19" s="11" t="str">
        <f>'Data Siswa'!F12&amp;""</f>
        <v/>
      </c>
      <c r="E19" s="261">
        <v>4</v>
      </c>
      <c r="F19" s="261">
        <v>4</v>
      </c>
      <c r="G19" s="261">
        <v>4</v>
      </c>
      <c r="H19" s="261">
        <v>4</v>
      </c>
      <c r="I19" s="261">
        <v>4</v>
      </c>
      <c r="J19" s="261">
        <v>4</v>
      </c>
      <c r="K19" s="261">
        <v>4</v>
      </c>
      <c r="L19" s="264">
        <f t="shared" si="2"/>
        <v>28</v>
      </c>
      <c r="M19" s="260">
        <f t="shared" si="3"/>
        <v>4</v>
      </c>
      <c r="N19" s="260" t="str">
        <f t="shared" si="4"/>
        <v>B (Baik)</v>
      </c>
      <c r="O19" s="261">
        <v>4</v>
      </c>
      <c r="P19" s="261">
        <v>4</v>
      </c>
      <c r="Q19" s="261">
        <v>4</v>
      </c>
      <c r="R19" s="261">
        <v>4</v>
      </c>
      <c r="S19" s="261">
        <v>4</v>
      </c>
      <c r="T19" s="264">
        <f t="shared" si="5"/>
        <v>20</v>
      </c>
      <c r="U19" s="260">
        <f t="shared" si="6"/>
        <v>4</v>
      </c>
      <c r="V19" s="260" t="str">
        <f t="shared" si="7"/>
        <v>B (Baik)</v>
      </c>
      <c r="X19" s="35" t="str">
        <f t="shared" si="8"/>
        <v>Kosong</v>
      </c>
      <c r="Y19" s="35"/>
      <c r="Z19" s="208">
        <f t="shared" si="0"/>
        <v>4</v>
      </c>
      <c r="AA19" s="208">
        <f t="shared" si="1"/>
        <v>4</v>
      </c>
    </row>
    <row r="20" spans="2:27">
      <c r="B20" s="7">
        <v>10</v>
      </c>
      <c r="C20" s="7" t="str">
        <f>'Data Siswa'!C13&amp;""</f>
        <v>2894</v>
      </c>
      <c r="D20" s="11" t="str">
        <f>'Data Siswa'!F13&amp;""</f>
        <v/>
      </c>
      <c r="E20" s="261">
        <v>4</v>
      </c>
      <c r="F20" s="261">
        <v>4</v>
      </c>
      <c r="G20" s="261">
        <v>4</v>
      </c>
      <c r="H20" s="261">
        <v>4</v>
      </c>
      <c r="I20" s="261">
        <v>4</v>
      </c>
      <c r="J20" s="261">
        <v>4</v>
      </c>
      <c r="K20" s="261">
        <v>4</v>
      </c>
      <c r="L20" s="264">
        <f t="shared" si="2"/>
        <v>28</v>
      </c>
      <c r="M20" s="260">
        <f t="shared" si="3"/>
        <v>4</v>
      </c>
      <c r="N20" s="260" t="str">
        <f t="shared" si="4"/>
        <v>B (Baik)</v>
      </c>
      <c r="O20" s="261">
        <v>4</v>
      </c>
      <c r="P20" s="261">
        <v>4</v>
      </c>
      <c r="Q20" s="261">
        <v>4</v>
      </c>
      <c r="R20" s="261">
        <v>4</v>
      </c>
      <c r="S20" s="261">
        <v>4</v>
      </c>
      <c r="T20" s="264">
        <f t="shared" si="5"/>
        <v>20</v>
      </c>
      <c r="U20" s="260">
        <f t="shared" si="6"/>
        <v>4</v>
      </c>
      <c r="V20" s="260" t="str">
        <f t="shared" si="7"/>
        <v>B (Baik)</v>
      </c>
      <c r="X20" s="35" t="str">
        <f t="shared" si="8"/>
        <v>Kosong</v>
      </c>
      <c r="Y20" s="35"/>
      <c r="Z20" s="208">
        <f t="shared" si="0"/>
        <v>4</v>
      </c>
      <c r="AA20" s="208">
        <f t="shared" si="1"/>
        <v>4</v>
      </c>
    </row>
    <row r="21" spans="2:27">
      <c r="B21" s="7">
        <v>11</v>
      </c>
      <c r="C21" s="7" t="str">
        <f>'Data Siswa'!C14&amp;""</f>
        <v>2895</v>
      </c>
      <c r="D21" s="11" t="str">
        <f>'Data Siswa'!F14&amp;""</f>
        <v/>
      </c>
      <c r="E21" s="261">
        <v>4</v>
      </c>
      <c r="F21" s="261">
        <v>4</v>
      </c>
      <c r="G21" s="261">
        <v>4</v>
      </c>
      <c r="H21" s="261">
        <v>4</v>
      </c>
      <c r="I21" s="261">
        <v>4</v>
      </c>
      <c r="J21" s="261">
        <v>4</v>
      </c>
      <c r="K21" s="261">
        <v>4</v>
      </c>
      <c r="L21" s="264">
        <f t="shared" si="2"/>
        <v>28</v>
      </c>
      <c r="M21" s="260">
        <f t="shared" si="3"/>
        <v>4</v>
      </c>
      <c r="N21" s="260" t="str">
        <f t="shared" si="4"/>
        <v>B (Baik)</v>
      </c>
      <c r="O21" s="261">
        <v>4</v>
      </c>
      <c r="P21" s="261">
        <v>4</v>
      </c>
      <c r="Q21" s="261">
        <v>4</v>
      </c>
      <c r="R21" s="261">
        <v>4</v>
      </c>
      <c r="S21" s="261">
        <v>4</v>
      </c>
      <c r="T21" s="264">
        <f t="shared" si="5"/>
        <v>20</v>
      </c>
      <c r="U21" s="260">
        <f t="shared" si="6"/>
        <v>4</v>
      </c>
      <c r="V21" s="260" t="str">
        <f t="shared" si="7"/>
        <v>B (Baik)</v>
      </c>
      <c r="X21" s="35" t="str">
        <f t="shared" si="8"/>
        <v>Kosong</v>
      </c>
      <c r="Y21" s="35"/>
      <c r="Z21" s="208">
        <f t="shared" si="0"/>
        <v>4</v>
      </c>
      <c r="AA21" s="208">
        <f t="shared" si="1"/>
        <v>4</v>
      </c>
    </row>
    <row r="22" spans="2:27">
      <c r="B22" s="7">
        <v>12</v>
      </c>
      <c r="C22" s="7" t="str">
        <f>'Data Siswa'!C15&amp;""</f>
        <v>2896</v>
      </c>
      <c r="D22" s="11" t="str">
        <f>'Data Siswa'!F15&amp;""</f>
        <v/>
      </c>
      <c r="E22" s="261">
        <v>4</v>
      </c>
      <c r="F22" s="261">
        <v>4</v>
      </c>
      <c r="G22" s="261">
        <v>4</v>
      </c>
      <c r="H22" s="261">
        <v>4</v>
      </c>
      <c r="I22" s="261">
        <v>4</v>
      </c>
      <c r="J22" s="261">
        <v>4</v>
      </c>
      <c r="K22" s="261">
        <v>4</v>
      </c>
      <c r="L22" s="264">
        <f t="shared" si="2"/>
        <v>28</v>
      </c>
      <c r="M22" s="260">
        <f t="shared" si="3"/>
        <v>4</v>
      </c>
      <c r="N22" s="260" t="str">
        <f t="shared" si="4"/>
        <v>B (Baik)</v>
      </c>
      <c r="O22" s="261">
        <v>4</v>
      </c>
      <c r="P22" s="261">
        <v>4</v>
      </c>
      <c r="Q22" s="261">
        <v>4</v>
      </c>
      <c r="R22" s="261">
        <v>4</v>
      </c>
      <c r="S22" s="261">
        <v>4</v>
      </c>
      <c r="T22" s="264">
        <f t="shared" si="5"/>
        <v>20</v>
      </c>
      <c r="U22" s="260">
        <f t="shared" si="6"/>
        <v>4</v>
      </c>
      <c r="V22" s="260" t="str">
        <f t="shared" si="7"/>
        <v>B (Baik)</v>
      </c>
      <c r="X22" s="35" t="str">
        <f t="shared" si="8"/>
        <v>Kosong</v>
      </c>
      <c r="Y22" s="35"/>
      <c r="Z22" s="208">
        <f t="shared" si="0"/>
        <v>4</v>
      </c>
      <c r="AA22" s="208">
        <f t="shared" si="1"/>
        <v>4</v>
      </c>
    </row>
    <row r="23" spans="2:27">
      <c r="B23" s="7">
        <v>13</v>
      </c>
      <c r="C23" s="7" t="str">
        <f>'Data Siswa'!C16&amp;""</f>
        <v>2897</v>
      </c>
      <c r="D23" s="11" t="str">
        <f>'Data Siswa'!F16&amp;""</f>
        <v/>
      </c>
      <c r="E23" s="261">
        <v>4</v>
      </c>
      <c r="F23" s="261">
        <v>4</v>
      </c>
      <c r="G23" s="261">
        <v>4</v>
      </c>
      <c r="H23" s="261">
        <v>4</v>
      </c>
      <c r="I23" s="261">
        <v>4</v>
      </c>
      <c r="J23" s="261">
        <v>4</v>
      </c>
      <c r="K23" s="261">
        <v>4</v>
      </c>
      <c r="L23" s="264">
        <f t="shared" si="2"/>
        <v>28</v>
      </c>
      <c r="M23" s="260">
        <f t="shared" si="3"/>
        <v>4</v>
      </c>
      <c r="N23" s="260" t="str">
        <f t="shared" si="4"/>
        <v>B (Baik)</v>
      </c>
      <c r="O23" s="261">
        <v>4</v>
      </c>
      <c r="P23" s="261">
        <v>4</v>
      </c>
      <c r="Q23" s="261">
        <v>4</v>
      </c>
      <c r="R23" s="261">
        <v>4</v>
      </c>
      <c r="S23" s="261">
        <v>4</v>
      </c>
      <c r="T23" s="264">
        <f t="shared" si="5"/>
        <v>20</v>
      </c>
      <c r="U23" s="260">
        <f t="shared" si="6"/>
        <v>4</v>
      </c>
      <c r="V23" s="260" t="str">
        <f t="shared" si="7"/>
        <v>B (Baik)</v>
      </c>
      <c r="X23" s="35" t="str">
        <f t="shared" si="8"/>
        <v>Kosong</v>
      </c>
      <c r="Y23" s="35"/>
      <c r="Z23" s="208">
        <f t="shared" si="0"/>
        <v>4</v>
      </c>
      <c r="AA23" s="208">
        <f t="shared" si="1"/>
        <v>4</v>
      </c>
    </row>
    <row r="24" spans="2:27">
      <c r="B24" s="7">
        <v>14</v>
      </c>
      <c r="C24" s="7" t="str">
        <f>'Data Siswa'!C17&amp;""</f>
        <v>2898</v>
      </c>
      <c r="D24" s="11" t="str">
        <f>'Data Siswa'!F17&amp;""</f>
        <v/>
      </c>
      <c r="E24" s="261">
        <v>4</v>
      </c>
      <c r="F24" s="261">
        <v>4</v>
      </c>
      <c r="G24" s="261">
        <v>4</v>
      </c>
      <c r="H24" s="261">
        <v>4</v>
      </c>
      <c r="I24" s="261">
        <v>4</v>
      </c>
      <c r="J24" s="261">
        <v>4</v>
      </c>
      <c r="K24" s="261">
        <v>4</v>
      </c>
      <c r="L24" s="264">
        <f t="shared" si="2"/>
        <v>28</v>
      </c>
      <c r="M24" s="260">
        <f t="shared" si="3"/>
        <v>4</v>
      </c>
      <c r="N24" s="260" t="str">
        <f t="shared" si="4"/>
        <v>B (Baik)</v>
      </c>
      <c r="O24" s="261">
        <v>4</v>
      </c>
      <c r="P24" s="261">
        <v>4</v>
      </c>
      <c r="Q24" s="261">
        <v>4</v>
      </c>
      <c r="R24" s="261">
        <v>4</v>
      </c>
      <c r="S24" s="261">
        <v>4</v>
      </c>
      <c r="T24" s="264">
        <f t="shared" si="5"/>
        <v>20</v>
      </c>
      <c r="U24" s="260">
        <f t="shared" si="6"/>
        <v>4</v>
      </c>
      <c r="V24" s="260" t="str">
        <f t="shared" si="7"/>
        <v>B (Baik)</v>
      </c>
      <c r="X24" s="35" t="str">
        <f t="shared" si="8"/>
        <v>Kosong</v>
      </c>
      <c r="Y24" s="35"/>
      <c r="Z24" s="208">
        <f t="shared" si="0"/>
        <v>4</v>
      </c>
      <c r="AA24" s="208">
        <f t="shared" si="1"/>
        <v>4</v>
      </c>
    </row>
    <row r="25" spans="2:27">
      <c r="B25" s="7">
        <v>15</v>
      </c>
      <c r="C25" s="7" t="str">
        <f>'Data Siswa'!C18&amp;""</f>
        <v>2900</v>
      </c>
      <c r="D25" s="11" t="str">
        <f>'Data Siswa'!F18&amp;""</f>
        <v/>
      </c>
      <c r="E25" s="261">
        <v>4</v>
      </c>
      <c r="F25" s="261">
        <v>4</v>
      </c>
      <c r="G25" s="261">
        <v>4</v>
      </c>
      <c r="H25" s="261">
        <v>4</v>
      </c>
      <c r="I25" s="261">
        <v>4</v>
      </c>
      <c r="J25" s="261">
        <v>4</v>
      </c>
      <c r="K25" s="261">
        <v>4</v>
      </c>
      <c r="L25" s="264">
        <f t="shared" si="2"/>
        <v>28</v>
      </c>
      <c r="M25" s="260">
        <f t="shared" si="3"/>
        <v>4</v>
      </c>
      <c r="N25" s="260" t="str">
        <f t="shared" si="4"/>
        <v>B (Baik)</v>
      </c>
      <c r="O25" s="261">
        <v>4</v>
      </c>
      <c r="P25" s="261">
        <v>4</v>
      </c>
      <c r="Q25" s="261">
        <v>4</v>
      </c>
      <c r="R25" s="261">
        <v>4</v>
      </c>
      <c r="S25" s="261">
        <v>4</v>
      </c>
      <c r="T25" s="264">
        <f t="shared" si="5"/>
        <v>20</v>
      </c>
      <c r="U25" s="260">
        <f t="shared" si="6"/>
        <v>4</v>
      </c>
      <c r="V25" s="260" t="str">
        <f t="shared" si="7"/>
        <v>B (Baik)</v>
      </c>
      <c r="X25" s="35" t="str">
        <f t="shared" si="8"/>
        <v>Kosong</v>
      </c>
      <c r="Y25" s="35"/>
      <c r="Z25" s="208">
        <f t="shared" si="0"/>
        <v>4</v>
      </c>
      <c r="AA25" s="208">
        <f t="shared" si="1"/>
        <v>4</v>
      </c>
    </row>
    <row r="26" spans="2:27">
      <c r="B26" s="7">
        <v>16</v>
      </c>
      <c r="C26" s="7" t="str">
        <f>'Data Siswa'!C19&amp;""</f>
        <v>2899</v>
      </c>
      <c r="D26" s="11" t="str">
        <f>'Data Siswa'!F19&amp;""</f>
        <v/>
      </c>
      <c r="E26" s="261">
        <v>4</v>
      </c>
      <c r="F26" s="261">
        <v>4</v>
      </c>
      <c r="G26" s="261">
        <v>4</v>
      </c>
      <c r="H26" s="261">
        <v>4</v>
      </c>
      <c r="I26" s="261">
        <v>4</v>
      </c>
      <c r="J26" s="261">
        <v>4</v>
      </c>
      <c r="K26" s="261">
        <v>4</v>
      </c>
      <c r="L26" s="264">
        <f t="shared" si="2"/>
        <v>28</v>
      </c>
      <c r="M26" s="260">
        <f t="shared" si="3"/>
        <v>4</v>
      </c>
      <c r="N26" s="260" t="str">
        <f t="shared" si="4"/>
        <v>B (Baik)</v>
      </c>
      <c r="O26" s="261">
        <v>4</v>
      </c>
      <c r="P26" s="261">
        <v>4</v>
      </c>
      <c r="Q26" s="261">
        <v>4</v>
      </c>
      <c r="R26" s="261">
        <v>4</v>
      </c>
      <c r="S26" s="261">
        <v>4</v>
      </c>
      <c r="T26" s="264">
        <f t="shared" si="5"/>
        <v>20</v>
      </c>
      <c r="U26" s="260">
        <f t="shared" si="6"/>
        <v>4</v>
      </c>
      <c r="V26" s="260" t="str">
        <f t="shared" si="7"/>
        <v>B (Baik)</v>
      </c>
      <c r="X26" s="35" t="str">
        <f t="shared" si="8"/>
        <v>Kosong</v>
      </c>
      <c r="Y26" s="35"/>
      <c r="Z26" s="208">
        <f t="shared" si="0"/>
        <v>4</v>
      </c>
      <c r="AA26" s="208">
        <f t="shared" si="1"/>
        <v>4</v>
      </c>
    </row>
    <row r="27" spans="2:27">
      <c r="B27" s="7">
        <v>17</v>
      </c>
      <c r="C27" s="7" t="str">
        <f>'Data Siswa'!C20&amp;""</f>
        <v>2901</v>
      </c>
      <c r="D27" s="11" t="str">
        <f>'Data Siswa'!F20&amp;""</f>
        <v/>
      </c>
      <c r="E27" s="261">
        <v>4</v>
      </c>
      <c r="F27" s="261">
        <v>4</v>
      </c>
      <c r="G27" s="261">
        <v>4</v>
      </c>
      <c r="H27" s="261">
        <v>4</v>
      </c>
      <c r="I27" s="261">
        <v>4</v>
      </c>
      <c r="J27" s="261">
        <v>4</v>
      </c>
      <c r="K27" s="261">
        <v>4</v>
      </c>
      <c r="L27" s="264">
        <f t="shared" si="2"/>
        <v>28</v>
      </c>
      <c r="M27" s="260">
        <f t="shared" si="3"/>
        <v>4</v>
      </c>
      <c r="N27" s="260" t="str">
        <f t="shared" si="4"/>
        <v>B (Baik)</v>
      </c>
      <c r="O27" s="261">
        <v>4</v>
      </c>
      <c r="P27" s="261">
        <v>4</v>
      </c>
      <c r="Q27" s="261">
        <v>4</v>
      </c>
      <c r="R27" s="261">
        <v>4</v>
      </c>
      <c r="S27" s="261">
        <v>4</v>
      </c>
      <c r="T27" s="264">
        <f t="shared" si="5"/>
        <v>20</v>
      </c>
      <c r="U27" s="260">
        <f t="shared" si="6"/>
        <v>4</v>
      </c>
      <c r="V27" s="260" t="str">
        <f t="shared" si="7"/>
        <v>B (Baik)</v>
      </c>
      <c r="X27" s="35" t="str">
        <f t="shared" si="8"/>
        <v>Kosong</v>
      </c>
      <c r="Y27" s="35"/>
      <c r="Z27" s="208">
        <f t="shared" si="0"/>
        <v>4</v>
      </c>
      <c r="AA27" s="208">
        <f t="shared" si="1"/>
        <v>4</v>
      </c>
    </row>
    <row r="28" spans="2:27">
      <c r="B28" s="7">
        <v>18</v>
      </c>
      <c r="C28" s="7" t="str">
        <f>'Data Siswa'!C21&amp;""</f>
        <v>2902</v>
      </c>
      <c r="D28" s="11" t="str">
        <f>'Data Siswa'!F21&amp;""</f>
        <v/>
      </c>
      <c r="E28" s="261">
        <v>4</v>
      </c>
      <c r="F28" s="261">
        <v>4</v>
      </c>
      <c r="G28" s="261">
        <v>4</v>
      </c>
      <c r="H28" s="261">
        <v>4</v>
      </c>
      <c r="I28" s="261">
        <v>4</v>
      </c>
      <c r="J28" s="261">
        <v>4</v>
      </c>
      <c r="K28" s="261">
        <v>4</v>
      </c>
      <c r="L28" s="264">
        <f t="shared" si="2"/>
        <v>28</v>
      </c>
      <c r="M28" s="260">
        <f t="shared" si="3"/>
        <v>4</v>
      </c>
      <c r="N28" s="260" t="str">
        <f t="shared" si="4"/>
        <v>B (Baik)</v>
      </c>
      <c r="O28" s="261">
        <v>4</v>
      </c>
      <c r="P28" s="261">
        <v>4</v>
      </c>
      <c r="Q28" s="261">
        <v>4</v>
      </c>
      <c r="R28" s="261">
        <v>4</v>
      </c>
      <c r="S28" s="261">
        <v>4</v>
      </c>
      <c r="T28" s="264">
        <f t="shared" si="5"/>
        <v>20</v>
      </c>
      <c r="U28" s="260">
        <f t="shared" si="6"/>
        <v>4</v>
      </c>
      <c r="V28" s="260" t="str">
        <f t="shared" si="7"/>
        <v>B (Baik)</v>
      </c>
      <c r="X28" s="35" t="str">
        <f t="shared" si="8"/>
        <v>Kosong</v>
      </c>
      <c r="Y28" s="35"/>
      <c r="Z28" s="208">
        <f t="shared" si="0"/>
        <v>4</v>
      </c>
      <c r="AA28" s="208">
        <f t="shared" si="1"/>
        <v>4</v>
      </c>
    </row>
    <row r="29" spans="2:27">
      <c r="B29" s="7">
        <v>19</v>
      </c>
      <c r="C29" s="7" t="str">
        <f>'Data Siswa'!C22&amp;""</f>
        <v>2904</v>
      </c>
      <c r="D29" s="11" t="str">
        <f>'Data Siswa'!F22&amp;""</f>
        <v/>
      </c>
      <c r="E29" s="261">
        <v>4</v>
      </c>
      <c r="F29" s="261">
        <v>4</v>
      </c>
      <c r="G29" s="261">
        <v>4</v>
      </c>
      <c r="H29" s="261">
        <v>4</v>
      </c>
      <c r="I29" s="261">
        <v>4</v>
      </c>
      <c r="J29" s="261">
        <v>4</v>
      </c>
      <c r="K29" s="261">
        <v>4</v>
      </c>
      <c r="L29" s="264">
        <f t="shared" si="2"/>
        <v>28</v>
      </c>
      <c r="M29" s="260">
        <f t="shared" si="3"/>
        <v>4</v>
      </c>
      <c r="N29" s="260" t="str">
        <f t="shared" si="4"/>
        <v>B (Baik)</v>
      </c>
      <c r="O29" s="261">
        <v>4</v>
      </c>
      <c r="P29" s="261">
        <v>4</v>
      </c>
      <c r="Q29" s="261">
        <v>4</v>
      </c>
      <c r="R29" s="261">
        <v>4</v>
      </c>
      <c r="S29" s="261">
        <v>4</v>
      </c>
      <c r="T29" s="264">
        <f t="shared" si="5"/>
        <v>20</v>
      </c>
      <c r="U29" s="260">
        <f t="shared" si="6"/>
        <v>4</v>
      </c>
      <c r="V29" s="260" t="str">
        <f t="shared" si="7"/>
        <v>B (Baik)</v>
      </c>
      <c r="X29" s="35" t="str">
        <f t="shared" si="8"/>
        <v>Kosong</v>
      </c>
      <c r="Y29" s="35"/>
      <c r="Z29" s="208">
        <f t="shared" si="0"/>
        <v>4</v>
      </c>
      <c r="AA29" s="208">
        <f t="shared" si="1"/>
        <v>4</v>
      </c>
    </row>
    <row r="30" spans="2:27">
      <c r="B30" s="7">
        <v>20</v>
      </c>
      <c r="C30" s="7" t="str">
        <f>'Data Siswa'!C23&amp;""</f>
        <v>1111</v>
      </c>
      <c r="D30" s="11" t="str">
        <f>'Data Siswa'!F23&amp;""</f>
        <v/>
      </c>
      <c r="E30" s="261">
        <v>4</v>
      </c>
      <c r="F30" s="261">
        <v>4</v>
      </c>
      <c r="G30" s="261">
        <v>4</v>
      </c>
      <c r="H30" s="261">
        <v>4</v>
      </c>
      <c r="I30" s="261">
        <v>4</v>
      </c>
      <c r="J30" s="261">
        <v>4</v>
      </c>
      <c r="K30" s="261">
        <v>4</v>
      </c>
      <c r="L30" s="264">
        <f t="shared" si="2"/>
        <v>28</v>
      </c>
      <c r="M30" s="260">
        <f t="shared" si="3"/>
        <v>4</v>
      </c>
      <c r="N30" s="260" t="str">
        <f t="shared" si="4"/>
        <v>B (Baik)</v>
      </c>
      <c r="O30" s="261">
        <v>4</v>
      </c>
      <c r="P30" s="261">
        <v>4</v>
      </c>
      <c r="Q30" s="261">
        <v>4</v>
      </c>
      <c r="R30" s="261">
        <v>4</v>
      </c>
      <c r="S30" s="261">
        <v>4</v>
      </c>
      <c r="T30" s="264">
        <f t="shared" si="5"/>
        <v>20</v>
      </c>
      <c r="U30" s="260">
        <f t="shared" si="6"/>
        <v>4</v>
      </c>
      <c r="V30" s="260" t="str">
        <f t="shared" si="7"/>
        <v>B (Baik)</v>
      </c>
      <c r="X30" s="35" t="str">
        <f t="shared" si="8"/>
        <v>Kosong</v>
      </c>
      <c r="Y30" s="35"/>
      <c r="Z30" s="208">
        <f t="shared" si="0"/>
        <v>4</v>
      </c>
      <c r="AA30" s="208">
        <f t="shared" si="1"/>
        <v>4</v>
      </c>
    </row>
    <row r="31" spans="2:27">
      <c r="B31" s="7">
        <v>21</v>
      </c>
      <c r="C31" s="7" t="str">
        <f>'Data Siswa'!C24&amp;""</f>
        <v>2906</v>
      </c>
      <c r="D31" s="11" t="str">
        <f>'Data Siswa'!F24&amp;""</f>
        <v/>
      </c>
      <c r="E31" s="261">
        <v>4</v>
      </c>
      <c r="F31" s="261">
        <v>4</v>
      </c>
      <c r="G31" s="261">
        <v>4</v>
      </c>
      <c r="H31" s="261">
        <v>4</v>
      </c>
      <c r="I31" s="261">
        <v>4</v>
      </c>
      <c r="J31" s="261">
        <v>4</v>
      </c>
      <c r="K31" s="261">
        <v>4</v>
      </c>
      <c r="L31" s="264">
        <f t="shared" si="2"/>
        <v>28</v>
      </c>
      <c r="M31" s="260">
        <f t="shared" si="3"/>
        <v>4</v>
      </c>
      <c r="N31" s="260" t="str">
        <f t="shared" si="4"/>
        <v>B (Baik)</v>
      </c>
      <c r="O31" s="261">
        <v>4</v>
      </c>
      <c r="P31" s="261">
        <v>4</v>
      </c>
      <c r="Q31" s="261">
        <v>4</v>
      </c>
      <c r="R31" s="261">
        <v>4</v>
      </c>
      <c r="S31" s="261">
        <v>4</v>
      </c>
      <c r="T31" s="264">
        <f t="shared" si="5"/>
        <v>20</v>
      </c>
      <c r="U31" s="260">
        <f t="shared" si="6"/>
        <v>4</v>
      </c>
      <c r="V31" s="260" t="str">
        <f t="shared" si="7"/>
        <v>B (Baik)</v>
      </c>
      <c r="X31" s="35" t="str">
        <f t="shared" si="8"/>
        <v>Kosong</v>
      </c>
      <c r="Y31" s="35"/>
      <c r="Z31" s="208">
        <f t="shared" si="0"/>
        <v>4</v>
      </c>
      <c r="AA31" s="208">
        <f t="shared" si="1"/>
        <v>4</v>
      </c>
    </row>
    <row r="32" spans="2:27">
      <c r="B32" s="7">
        <v>22</v>
      </c>
      <c r="C32" s="7" t="str">
        <f>'Data Siswa'!C25&amp;""</f>
        <v/>
      </c>
      <c r="D32" s="11" t="str">
        <f>'Data Siswa'!F25&amp;""</f>
        <v/>
      </c>
      <c r="E32" s="261">
        <v>4</v>
      </c>
      <c r="F32" s="261">
        <v>4</v>
      </c>
      <c r="G32" s="261">
        <v>4</v>
      </c>
      <c r="H32" s="261">
        <v>4</v>
      </c>
      <c r="I32" s="261">
        <v>4</v>
      </c>
      <c r="J32" s="261">
        <v>4</v>
      </c>
      <c r="K32" s="261">
        <v>4</v>
      </c>
      <c r="L32" s="264">
        <f t="shared" si="2"/>
        <v>28</v>
      </c>
      <c r="M32" s="260">
        <f t="shared" si="3"/>
        <v>4</v>
      </c>
      <c r="N32" s="260" t="str">
        <f t="shared" si="4"/>
        <v>B (Baik)</v>
      </c>
      <c r="O32" s="261">
        <v>4</v>
      </c>
      <c r="P32" s="261">
        <v>4</v>
      </c>
      <c r="Q32" s="261">
        <v>4</v>
      </c>
      <c r="R32" s="261">
        <v>4</v>
      </c>
      <c r="S32" s="261">
        <v>4</v>
      </c>
      <c r="T32" s="264">
        <f t="shared" si="5"/>
        <v>20</v>
      </c>
      <c r="U32" s="260">
        <f t="shared" si="6"/>
        <v>4</v>
      </c>
      <c r="V32" s="260" t="str">
        <f t="shared" si="7"/>
        <v>B (Baik)</v>
      </c>
      <c r="X32" s="35" t="str">
        <f t="shared" si="8"/>
        <v>Kosong</v>
      </c>
      <c r="Y32" s="35"/>
      <c r="Z32" s="208">
        <f t="shared" si="0"/>
        <v>4</v>
      </c>
      <c r="AA32" s="208">
        <f t="shared" si="1"/>
        <v>4</v>
      </c>
    </row>
    <row r="33" spans="2:27">
      <c r="B33" s="7">
        <v>23</v>
      </c>
      <c r="C33" s="7" t="str">
        <f>'Data Siswa'!C26&amp;""</f>
        <v/>
      </c>
      <c r="D33" s="11" t="str">
        <f>'Data Siswa'!F26&amp;""</f>
        <v/>
      </c>
      <c r="E33" s="261">
        <v>4</v>
      </c>
      <c r="F33" s="261">
        <v>4</v>
      </c>
      <c r="G33" s="261">
        <v>4</v>
      </c>
      <c r="H33" s="261">
        <v>4</v>
      </c>
      <c r="I33" s="261">
        <v>4</v>
      </c>
      <c r="J33" s="261">
        <v>4</v>
      </c>
      <c r="K33" s="261">
        <v>4</v>
      </c>
      <c r="L33" s="264">
        <f t="shared" si="2"/>
        <v>28</v>
      </c>
      <c r="M33" s="260">
        <f t="shared" si="3"/>
        <v>4</v>
      </c>
      <c r="N33" s="260" t="str">
        <f t="shared" si="4"/>
        <v>B (Baik)</v>
      </c>
      <c r="O33" s="261">
        <v>4</v>
      </c>
      <c r="P33" s="261">
        <v>4</v>
      </c>
      <c r="Q33" s="261">
        <v>4</v>
      </c>
      <c r="R33" s="261">
        <v>4</v>
      </c>
      <c r="S33" s="261">
        <v>4</v>
      </c>
      <c r="T33" s="264">
        <f t="shared" si="5"/>
        <v>20</v>
      </c>
      <c r="U33" s="260">
        <f t="shared" si="6"/>
        <v>4</v>
      </c>
      <c r="V33" s="260" t="str">
        <f t="shared" si="7"/>
        <v>B (Baik)</v>
      </c>
      <c r="X33" s="35" t="str">
        <f t="shared" si="8"/>
        <v>Kosong</v>
      </c>
      <c r="Y33" s="35"/>
      <c r="Z33" s="208">
        <f t="shared" si="0"/>
        <v>4</v>
      </c>
      <c r="AA33" s="208">
        <f t="shared" si="1"/>
        <v>4</v>
      </c>
    </row>
    <row r="34" spans="2:27">
      <c r="B34" s="7">
        <v>24</v>
      </c>
      <c r="C34" s="7" t="str">
        <f>'Data Siswa'!C27&amp;""</f>
        <v/>
      </c>
      <c r="D34" s="11" t="str">
        <f>'Data Siswa'!F27&amp;""</f>
        <v/>
      </c>
      <c r="E34" s="261">
        <v>4</v>
      </c>
      <c r="F34" s="261">
        <v>4</v>
      </c>
      <c r="G34" s="261">
        <v>4</v>
      </c>
      <c r="H34" s="261">
        <v>4</v>
      </c>
      <c r="I34" s="261">
        <v>4</v>
      </c>
      <c r="J34" s="261">
        <v>4</v>
      </c>
      <c r="K34" s="261">
        <v>4</v>
      </c>
      <c r="L34" s="264">
        <f t="shared" si="2"/>
        <v>28</v>
      </c>
      <c r="M34" s="260">
        <f t="shared" si="3"/>
        <v>4</v>
      </c>
      <c r="N34" s="260" t="str">
        <f t="shared" si="4"/>
        <v>B (Baik)</v>
      </c>
      <c r="O34" s="261">
        <v>4</v>
      </c>
      <c r="P34" s="261">
        <v>4</v>
      </c>
      <c r="Q34" s="261">
        <v>4</v>
      </c>
      <c r="R34" s="261">
        <v>4</v>
      </c>
      <c r="S34" s="261">
        <v>4</v>
      </c>
      <c r="T34" s="264">
        <f t="shared" si="5"/>
        <v>20</v>
      </c>
      <c r="U34" s="260">
        <f t="shared" si="6"/>
        <v>4</v>
      </c>
      <c r="V34" s="260" t="str">
        <f t="shared" si="7"/>
        <v>B (Baik)</v>
      </c>
      <c r="X34" s="35" t="str">
        <f t="shared" si="8"/>
        <v>Kosong</v>
      </c>
      <c r="Y34" s="35"/>
      <c r="Z34" s="208">
        <f t="shared" si="0"/>
        <v>4</v>
      </c>
      <c r="AA34" s="208">
        <f t="shared" si="1"/>
        <v>4</v>
      </c>
    </row>
    <row r="35" spans="2:27">
      <c r="B35" s="7">
        <v>25</v>
      </c>
      <c r="C35" s="7" t="str">
        <f>'Data Siswa'!C28&amp;""</f>
        <v/>
      </c>
      <c r="D35" s="11" t="str">
        <f>'Data Siswa'!F28&amp;""</f>
        <v/>
      </c>
      <c r="E35" s="261">
        <v>4</v>
      </c>
      <c r="F35" s="261">
        <v>4</v>
      </c>
      <c r="G35" s="261">
        <v>4</v>
      </c>
      <c r="H35" s="261">
        <v>4</v>
      </c>
      <c r="I35" s="261">
        <v>4</v>
      </c>
      <c r="J35" s="261">
        <v>4</v>
      </c>
      <c r="K35" s="261">
        <v>4</v>
      </c>
      <c r="L35" s="264">
        <f t="shared" si="2"/>
        <v>28</v>
      </c>
      <c r="M35" s="260">
        <f t="shared" si="3"/>
        <v>4</v>
      </c>
      <c r="N35" s="260" t="str">
        <f t="shared" si="4"/>
        <v>B (Baik)</v>
      </c>
      <c r="O35" s="261">
        <v>4</v>
      </c>
      <c r="P35" s="261">
        <v>4</v>
      </c>
      <c r="Q35" s="261">
        <v>4</v>
      </c>
      <c r="R35" s="261">
        <v>4</v>
      </c>
      <c r="S35" s="261">
        <v>4</v>
      </c>
      <c r="T35" s="264">
        <f t="shared" si="5"/>
        <v>20</v>
      </c>
      <c r="U35" s="260">
        <f t="shared" si="6"/>
        <v>4</v>
      </c>
      <c r="V35" s="260" t="str">
        <f t="shared" si="7"/>
        <v>B (Baik)</v>
      </c>
      <c r="X35" s="35" t="str">
        <f t="shared" si="8"/>
        <v>Kosong</v>
      </c>
      <c r="Y35" s="35"/>
      <c r="Z35" s="208">
        <f t="shared" si="0"/>
        <v>4</v>
      </c>
      <c r="AA35" s="208">
        <f t="shared" si="1"/>
        <v>4</v>
      </c>
    </row>
    <row r="36" spans="2:27">
      <c r="B36" s="7">
        <v>26</v>
      </c>
      <c r="C36" s="7" t="str">
        <f>'Data Siswa'!C29&amp;""</f>
        <v/>
      </c>
      <c r="D36" s="11" t="str">
        <f>'Data Siswa'!F29&amp;""</f>
        <v/>
      </c>
      <c r="E36" s="261">
        <v>4</v>
      </c>
      <c r="F36" s="261">
        <v>4</v>
      </c>
      <c r="G36" s="261">
        <v>4</v>
      </c>
      <c r="H36" s="261">
        <v>4</v>
      </c>
      <c r="I36" s="261">
        <v>4</v>
      </c>
      <c r="J36" s="261">
        <v>4</v>
      </c>
      <c r="K36" s="261">
        <v>4</v>
      </c>
      <c r="L36" s="264">
        <f t="shared" si="2"/>
        <v>28</v>
      </c>
      <c r="M36" s="260">
        <f t="shared" si="3"/>
        <v>4</v>
      </c>
      <c r="N36" s="260" t="str">
        <f t="shared" si="4"/>
        <v>B (Baik)</v>
      </c>
      <c r="O36" s="261">
        <v>4</v>
      </c>
      <c r="P36" s="261">
        <v>4</v>
      </c>
      <c r="Q36" s="261">
        <v>4</v>
      </c>
      <c r="R36" s="261">
        <v>4</v>
      </c>
      <c r="S36" s="261">
        <v>4</v>
      </c>
      <c r="T36" s="264">
        <f t="shared" si="5"/>
        <v>20</v>
      </c>
      <c r="U36" s="260">
        <f t="shared" si="6"/>
        <v>4</v>
      </c>
      <c r="V36" s="260" t="str">
        <f t="shared" si="7"/>
        <v>B (Baik)</v>
      </c>
      <c r="X36" s="35" t="str">
        <f t="shared" si="8"/>
        <v>Kosong</v>
      </c>
      <c r="Y36" s="35"/>
      <c r="Z36" s="208">
        <f t="shared" si="0"/>
        <v>4</v>
      </c>
      <c r="AA36" s="208">
        <f t="shared" si="1"/>
        <v>4</v>
      </c>
    </row>
    <row r="37" spans="2:27">
      <c r="B37" s="7">
        <v>27</v>
      </c>
      <c r="C37" s="7" t="str">
        <f>'Data Siswa'!C30&amp;""</f>
        <v/>
      </c>
      <c r="D37" s="11" t="str">
        <f>'Data Siswa'!F30&amp;""</f>
        <v/>
      </c>
      <c r="E37" s="261">
        <v>4</v>
      </c>
      <c r="F37" s="261">
        <v>4</v>
      </c>
      <c r="G37" s="261">
        <v>4</v>
      </c>
      <c r="H37" s="261">
        <v>4</v>
      </c>
      <c r="I37" s="261">
        <v>4</v>
      </c>
      <c r="J37" s="261">
        <v>4</v>
      </c>
      <c r="K37" s="261">
        <v>4</v>
      </c>
      <c r="L37" s="264">
        <f t="shared" si="2"/>
        <v>28</v>
      </c>
      <c r="M37" s="260">
        <f t="shared" si="3"/>
        <v>4</v>
      </c>
      <c r="N37" s="260" t="str">
        <f t="shared" si="4"/>
        <v>B (Baik)</v>
      </c>
      <c r="O37" s="261">
        <v>4</v>
      </c>
      <c r="P37" s="261">
        <v>4</v>
      </c>
      <c r="Q37" s="261">
        <v>4</v>
      </c>
      <c r="R37" s="261">
        <v>4</v>
      </c>
      <c r="S37" s="261">
        <v>4</v>
      </c>
      <c r="T37" s="264">
        <f t="shared" si="5"/>
        <v>20</v>
      </c>
      <c r="U37" s="260">
        <f t="shared" si="6"/>
        <v>4</v>
      </c>
      <c r="V37" s="260" t="str">
        <f t="shared" si="7"/>
        <v>B (Baik)</v>
      </c>
      <c r="X37" s="35" t="str">
        <f t="shared" si="8"/>
        <v>Kosong</v>
      </c>
      <c r="Y37" s="35"/>
      <c r="Z37" s="208">
        <f t="shared" si="0"/>
        <v>4</v>
      </c>
      <c r="AA37" s="208">
        <f t="shared" si="1"/>
        <v>4</v>
      </c>
    </row>
    <row r="38" spans="2:27">
      <c r="B38" s="7">
        <v>28</v>
      </c>
      <c r="C38" s="7" t="str">
        <f>'Data Siswa'!C31&amp;""</f>
        <v/>
      </c>
      <c r="D38" s="11" t="str">
        <f>'Data Siswa'!F31&amp;""</f>
        <v/>
      </c>
      <c r="E38" s="261">
        <v>4</v>
      </c>
      <c r="F38" s="261">
        <v>4</v>
      </c>
      <c r="G38" s="261">
        <v>4</v>
      </c>
      <c r="H38" s="261">
        <v>4</v>
      </c>
      <c r="I38" s="261">
        <v>4</v>
      </c>
      <c r="J38" s="261">
        <v>4</v>
      </c>
      <c r="K38" s="261">
        <v>4</v>
      </c>
      <c r="L38" s="264">
        <f t="shared" si="2"/>
        <v>28</v>
      </c>
      <c r="M38" s="260">
        <f t="shared" si="3"/>
        <v>4</v>
      </c>
      <c r="N38" s="260" t="str">
        <f t="shared" si="4"/>
        <v>B (Baik)</v>
      </c>
      <c r="O38" s="261">
        <v>4</v>
      </c>
      <c r="P38" s="261">
        <v>4</v>
      </c>
      <c r="Q38" s="261">
        <v>4</v>
      </c>
      <c r="R38" s="261">
        <v>4</v>
      </c>
      <c r="S38" s="261">
        <v>4</v>
      </c>
      <c r="T38" s="264">
        <f t="shared" si="5"/>
        <v>20</v>
      </c>
      <c r="U38" s="260">
        <f t="shared" si="6"/>
        <v>4</v>
      </c>
      <c r="V38" s="260" t="str">
        <f t="shared" si="7"/>
        <v>B (Baik)</v>
      </c>
      <c r="X38" s="35" t="str">
        <f t="shared" si="8"/>
        <v>Kosong</v>
      </c>
      <c r="Y38" s="35"/>
      <c r="Z38" s="208">
        <f t="shared" si="0"/>
        <v>4</v>
      </c>
      <c r="AA38" s="208">
        <f t="shared" si="1"/>
        <v>4</v>
      </c>
    </row>
    <row r="39" spans="2:27">
      <c r="B39" s="7">
        <v>29</v>
      </c>
      <c r="C39" s="7" t="str">
        <f>'Data Siswa'!C32&amp;""</f>
        <v/>
      </c>
      <c r="D39" s="11" t="str">
        <f>'Data Siswa'!F32&amp;""</f>
        <v/>
      </c>
      <c r="E39" s="261">
        <v>4</v>
      </c>
      <c r="F39" s="261">
        <v>4</v>
      </c>
      <c r="G39" s="261">
        <v>4</v>
      </c>
      <c r="H39" s="261">
        <v>4</v>
      </c>
      <c r="I39" s="261">
        <v>4</v>
      </c>
      <c r="J39" s="261">
        <v>4</v>
      </c>
      <c r="K39" s="261">
        <v>4</v>
      </c>
      <c r="L39" s="264">
        <f t="shared" si="2"/>
        <v>28</v>
      </c>
      <c r="M39" s="260">
        <f t="shared" si="3"/>
        <v>4</v>
      </c>
      <c r="N39" s="260" t="str">
        <f t="shared" si="4"/>
        <v>B (Baik)</v>
      </c>
      <c r="O39" s="261">
        <v>4</v>
      </c>
      <c r="P39" s="261">
        <v>4</v>
      </c>
      <c r="Q39" s="261">
        <v>4</v>
      </c>
      <c r="R39" s="261">
        <v>4</v>
      </c>
      <c r="S39" s="261">
        <v>4</v>
      </c>
      <c r="T39" s="264">
        <f t="shared" si="5"/>
        <v>20</v>
      </c>
      <c r="U39" s="260">
        <f t="shared" si="6"/>
        <v>4</v>
      </c>
      <c r="V39" s="260" t="str">
        <f t="shared" si="7"/>
        <v>B (Baik)</v>
      </c>
      <c r="X39" s="35" t="str">
        <f t="shared" si="8"/>
        <v>Kosong</v>
      </c>
      <c r="Y39" s="35"/>
      <c r="Z39" s="208">
        <f t="shared" si="0"/>
        <v>4</v>
      </c>
      <c r="AA39" s="208">
        <f t="shared" si="1"/>
        <v>4</v>
      </c>
    </row>
    <row r="40" spans="2:27">
      <c r="B40" s="7">
        <v>30</v>
      </c>
      <c r="C40" s="7" t="str">
        <f>'Data Siswa'!C33&amp;""</f>
        <v/>
      </c>
      <c r="D40" s="11" t="str">
        <f>'Data Siswa'!F33&amp;""</f>
        <v/>
      </c>
      <c r="E40" s="261">
        <v>4</v>
      </c>
      <c r="F40" s="261">
        <v>4</v>
      </c>
      <c r="G40" s="261">
        <v>4</v>
      </c>
      <c r="H40" s="261">
        <v>4</v>
      </c>
      <c r="I40" s="261">
        <v>4</v>
      </c>
      <c r="J40" s="261">
        <v>4</v>
      </c>
      <c r="K40" s="261">
        <v>4</v>
      </c>
      <c r="L40" s="264">
        <f t="shared" si="2"/>
        <v>28</v>
      </c>
      <c r="M40" s="260">
        <f t="shared" si="3"/>
        <v>4</v>
      </c>
      <c r="N40" s="260" t="str">
        <f t="shared" si="4"/>
        <v>B (Baik)</v>
      </c>
      <c r="O40" s="261">
        <v>4</v>
      </c>
      <c r="P40" s="261">
        <v>4</v>
      </c>
      <c r="Q40" s="261">
        <v>4</v>
      </c>
      <c r="R40" s="261">
        <v>4</v>
      </c>
      <c r="S40" s="261">
        <v>4</v>
      </c>
      <c r="T40" s="264">
        <f t="shared" si="5"/>
        <v>20</v>
      </c>
      <c r="U40" s="260">
        <f t="shared" si="6"/>
        <v>4</v>
      </c>
      <c r="V40" s="260" t="str">
        <f t="shared" si="7"/>
        <v>B (Baik)</v>
      </c>
      <c r="X40" s="35" t="str">
        <f t="shared" si="8"/>
        <v>Kosong</v>
      </c>
      <c r="Y40" s="35"/>
      <c r="Z40" s="208">
        <f t="shared" si="0"/>
        <v>4</v>
      </c>
      <c r="AA40" s="208">
        <f t="shared" si="1"/>
        <v>4</v>
      </c>
    </row>
    <row r="41" spans="2:27">
      <c r="B41" s="7">
        <v>31</v>
      </c>
      <c r="C41" s="7" t="str">
        <f>'Data Siswa'!C34&amp;""</f>
        <v/>
      </c>
      <c r="D41" s="11" t="str">
        <f>'Data Siswa'!F34&amp;""</f>
        <v/>
      </c>
      <c r="E41" s="261"/>
      <c r="F41" s="261"/>
      <c r="G41" s="261"/>
      <c r="H41" s="261"/>
      <c r="I41" s="261"/>
      <c r="J41" s="261"/>
      <c r="K41" s="261"/>
      <c r="L41" s="264" t="str">
        <f t="shared" si="2"/>
        <v/>
      </c>
      <c r="M41" s="260" t="str">
        <f t="shared" si="3"/>
        <v/>
      </c>
      <c r="N41" s="260" t="str">
        <f t="shared" si="4"/>
        <v/>
      </c>
      <c r="O41" s="261"/>
      <c r="P41" s="261"/>
      <c r="Q41" s="261"/>
      <c r="R41" s="261"/>
      <c r="S41" s="261"/>
      <c r="T41" s="264" t="str">
        <f t="shared" si="5"/>
        <v/>
      </c>
      <c r="U41" s="260" t="str">
        <f t="shared" si="6"/>
        <v/>
      </c>
      <c r="V41" s="260" t="str">
        <f t="shared" si="7"/>
        <v/>
      </c>
      <c r="X41" s="35" t="str">
        <f t="shared" si="8"/>
        <v>Kosong</v>
      </c>
      <c r="Y41" s="35"/>
      <c r="Z41" s="208" t="e">
        <f t="shared" si="0"/>
        <v>#DIV/0!</v>
      </c>
      <c r="AA41" s="208" t="e">
        <f t="shared" si="1"/>
        <v>#DIV/0!</v>
      </c>
    </row>
    <row r="42" spans="2:27">
      <c r="B42" s="7">
        <v>32</v>
      </c>
      <c r="C42" s="7" t="str">
        <f>'Data Siswa'!C35&amp;""</f>
        <v/>
      </c>
      <c r="D42" s="11" t="str">
        <f>'Data Siswa'!F35&amp;""</f>
        <v/>
      </c>
      <c r="E42" s="261"/>
      <c r="F42" s="261"/>
      <c r="G42" s="261"/>
      <c r="H42" s="261"/>
      <c r="I42" s="261"/>
      <c r="J42" s="261"/>
      <c r="K42" s="261"/>
      <c r="L42" s="264" t="str">
        <f t="shared" si="2"/>
        <v/>
      </c>
      <c r="M42" s="260" t="str">
        <f t="shared" si="3"/>
        <v/>
      </c>
      <c r="N42" s="260" t="str">
        <f t="shared" si="4"/>
        <v/>
      </c>
      <c r="O42" s="261"/>
      <c r="P42" s="261"/>
      <c r="Q42" s="261"/>
      <c r="R42" s="261"/>
      <c r="S42" s="261"/>
      <c r="T42" s="264" t="str">
        <f t="shared" si="5"/>
        <v/>
      </c>
      <c r="U42" s="260" t="str">
        <f t="shared" si="6"/>
        <v/>
      </c>
      <c r="V42" s="260" t="str">
        <f t="shared" si="7"/>
        <v/>
      </c>
      <c r="X42" s="35" t="str">
        <f t="shared" si="8"/>
        <v>Kosong</v>
      </c>
      <c r="Y42" s="35"/>
      <c r="Z42" s="208" t="e">
        <f t="shared" si="0"/>
        <v>#DIV/0!</v>
      </c>
      <c r="AA42" s="208" t="e">
        <f t="shared" si="1"/>
        <v>#DIV/0!</v>
      </c>
    </row>
    <row r="43" spans="2:27">
      <c r="B43" s="7">
        <v>33</v>
      </c>
      <c r="C43" s="7" t="str">
        <f>'Data Siswa'!C36&amp;""</f>
        <v/>
      </c>
      <c r="D43" s="11" t="str">
        <f>'Data Siswa'!F36&amp;""</f>
        <v/>
      </c>
      <c r="E43" s="261"/>
      <c r="F43" s="261"/>
      <c r="G43" s="261"/>
      <c r="H43" s="261"/>
      <c r="I43" s="261"/>
      <c r="J43" s="261"/>
      <c r="K43" s="261"/>
      <c r="L43" s="264" t="str">
        <f t="shared" si="2"/>
        <v/>
      </c>
      <c r="M43" s="260" t="str">
        <f t="shared" si="3"/>
        <v/>
      </c>
      <c r="N43" s="260" t="str">
        <f t="shared" si="4"/>
        <v/>
      </c>
      <c r="O43" s="261"/>
      <c r="P43" s="261"/>
      <c r="Q43" s="261"/>
      <c r="R43" s="261"/>
      <c r="S43" s="261"/>
      <c r="T43" s="264" t="str">
        <f t="shared" si="5"/>
        <v/>
      </c>
      <c r="U43" s="260" t="str">
        <f t="shared" si="6"/>
        <v/>
      </c>
      <c r="V43" s="260" t="str">
        <f t="shared" si="7"/>
        <v/>
      </c>
      <c r="X43" s="35" t="str">
        <f t="shared" si="8"/>
        <v>Kosong</v>
      </c>
      <c r="Y43" s="35"/>
      <c r="Z43" s="208" t="e">
        <f t="shared" ref="Z43:Z60" si="9">AVERAGE(E43:K43)</f>
        <v>#DIV/0!</v>
      </c>
      <c r="AA43" s="208" t="e">
        <f t="shared" ref="AA43:AA60" si="10">AVERAGE(M43:S43)</f>
        <v>#DIV/0!</v>
      </c>
    </row>
    <row r="44" spans="2:27">
      <c r="B44" s="7">
        <v>34</v>
      </c>
      <c r="C44" s="7" t="str">
        <f>'Data Siswa'!C37&amp;""</f>
        <v/>
      </c>
      <c r="D44" s="11" t="str">
        <f>'Data Siswa'!F37&amp;""</f>
        <v/>
      </c>
      <c r="E44" s="261"/>
      <c r="F44" s="261"/>
      <c r="G44" s="261"/>
      <c r="H44" s="261"/>
      <c r="I44" s="261"/>
      <c r="J44" s="261"/>
      <c r="K44" s="261"/>
      <c r="L44" s="264" t="str">
        <f t="shared" si="2"/>
        <v/>
      </c>
      <c r="M44" s="260" t="str">
        <f t="shared" si="3"/>
        <v/>
      </c>
      <c r="N44" s="260" t="str">
        <f t="shared" si="4"/>
        <v/>
      </c>
      <c r="O44" s="261"/>
      <c r="P44" s="261"/>
      <c r="Q44" s="261"/>
      <c r="R44" s="261"/>
      <c r="S44" s="261"/>
      <c r="T44" s="264" t="str">
        <f t="shared" si="5"/>
        <v/>
      </c>
      <c r="U44" s="260" t="str">
        <f t="shared" si="6"/>
        <v/>
      </c>
      <c r="V44" s="260" t="str">
        <f t="shared" si="7"/>
        <v/>
      </c>
      <c r="X44" s="35" t="str">
        <f t="shared" si="8"/>
        <v>Kosong</v>
      </c>
      <c r="Y44" s="35"/>
      <c r="Z44" s="208" t="e">
        <f t="shared" si="9"/>
        <v>#DIV/0!</v>
      </c>
      <c r="AA44" s="208" t="e">
        <f t="shared" si="10"/>
        <v>#DIV/0!</v>
      </c>
    </row>
    <row r="45" spans="2:27">
      <c r="B45" s="7">
        <v>35</v>
      </c>
      <c r="C45" s="7" t="str">
        <f>'Data Siswa'!C38&amp;""</f>
        <v/>
      </c>
      <c r="D45" s="11" t="str">
        <f>'Data Siswa'!F38&amp;""</f>
        <v/>
      </c>
      <c r="E45" s="261"/>
      <c r="F45" s="261"/>
      <c r="G45" s="261"/>
      <c r="H45" s="261"/>
      <c r="I45" s="261"/>
      <c r="J45" s="261"/>
      <c r="K45" s="261"/>
      <c r="L45" s="264" t="str">
        <f t="shared" si="2"/>
        <v/>
      </c>
      <c r="M45" s="260" t="str">
        <f t="shared" si="3"/>
        <v/>
      </c>
      <c r="N45" s="260" t="str">
        <f t="shared" si="4"/>
        <v/>
      </c>
      <c r="O45" s="261"/>
      <c r="P45" s="261"/>
      <c r="Q45" s="261"/>
      <c r="R45" s="261"/>
      <c r="S45" s="261"/>
      <c r="T45" s="264" t="str">
        <f t="shared" si="5"/>
        <v/>
      </c>
      <c r="U45" s="260" t="str">
        <f t="shared" si="6"/>
        <v/>
      </c>
      <c r="V45" s="260" t="str">
        <f t="shared" si="7"/>
        <v/>
      </c>
      <c r="X45" s="35" t="str">
        <f t="shared" si="8"/>
        <v>Kosong</v>
      </c>
      <c r="Y45" s="35"/>
      <c r="Z45" s="208" t="e">
        <f t="shared" si="9"/>
        <v>#DIV/0!</v>
      </c>
      <c r="AA45" s="208" t="e">
        <f t="shared" si="10"/>
        <v>#DIV/0!</v>
      </c>
    </row>
    <row r="46" spans="2:27">
      <c r="B46" s="7">
        <v>36</v>
      </c>
      <c r="C46" s="7" t="str">
        <f>'Data Siswa'!C39&amp;""</f>
        <v/>
      </c>
      <c r="D46" s="11" t="str">
        <f>'Data Siswa'!F39&amp;""</f>
        <v/>
      </c>
      <c r="E46" s="261"/>
      <c r="F46" s="261"/>
      <c r="G46" s="261"/>
      <c r="H46" s="261"/>
      <c r="I46" s="261"/>
      <c r="J46" s="261"/>
      <c r="K46" s="261"/>
      <c r="L46" s="264" t="str">
        <f t="shared" si="2"/>
        <v/>
      </c>
      <c r="M46" s="260" t="str">
        <f t="shared" si="3"/>
        <v/>
      </c>
      <c r="N46" s="260" t="str">
        <f t="shared" si="4"/>
        <v/>
      </c>
      <c r="O46" s="261"/>
      <c r="P46" s="261"/>
      <c r="Q46" s="261"/>
      <c r="R46" s="261"/>
      <c r="S46" s="261"/>
      <c r="T46" s="264" t="str">
        <f t="shared" si="5"/>
        <v/>
      </c>
      <c r="U46" s="260" t="str">
        <f t="shared" si="6"/>
        <v/>
      </c>
      <c r="V46" s="260" t="str">
        <f t="shared" si="7"/>
        <v/>
      </c>
      <c r="X46" s="35" t="str">
        <f t="shared" si="8"/>
        <v>Kosong</v>
      </c>
      <c r="Y46" s="35"/>
      <c r="Z46" s="208" t="e">
        <f t="shared" si="9"/>
        <v>#DIV/0!</v>
      </c>
      <c r="AA46" s="208" t="e">
        <f t="shared" si="10"/>
        <v>#DIV/0!</v>
      </c>
    </row>
    <row r="47" spans="2:27">
      <c r="B47" s="7">
        <v>37</v>
      </c>
      <c r="C47" s="7" t="str">
        <f>'Data Siswa'!C40&amp;""</f>
        <v/>
      </c>
      <c r="D47" s="11" t="str">
        <f>'Data Siswa'!F40&amp;""</f>
        <v/>
      </c>
      <c r="E47" s="261"/>
      <c r="F47" s="261"/>
      <c r="G47" s="261"/>
      <c r="H47" s="261"/>
      <c r="I47" s="261"/>
      <c r="J47" s="261"/>
      <c r="K47" s="261"/>
      <c r="L47" s="264" t="str">
        <f t="shared" si="2"/>
        <v/>
      </c>
      <c r="M47" s="260" t="str">
        <f t="shared" si="3"/>
        <v/>
      </c>
      <c r="N47" s="260" t="str">
        <f t="shared" si="4"/>
        <v/>
      </c>
      <c r="O47" s="261"/>
      <c r="P47" s="261"/>
      <c r="Q47" s="261"/>
      <c r="R47" s="261"/>
      <c r="S47" s="261"/>
      <c r="T47" s="264" t="str">
        <f t="shared" si="5"/>
        <v/>
      </c>
      <c r="U47" s="260" t="str">
        <f t="shared" si="6"/>
        <v/>
      </c>
      <c r="V47" s="260" t="str">
        <f t="shared" si="7"/>
        <v/>
      </c>
      <c r="X47" s="35" t="str">
        <f t="shared" si="8"/>
        <v>Kosong</v>
      </c>
      <c r="Y47" s="35"/>
      <c r="Z47" s="208" t="e">
        <f t="shared" si="9"/>
        <v>#DIV/0!</v>
      </c>
      <c r="AA47" s="208" t="e">
        <f t="shared" si="10"/>
        <v>#DIV/0!</v>
      </c>
    </row>
    <row r="48" spans="2:27">
      <c r="B48" s="7">
        <v>38</v>
      </c>
      <c r="C48" s="7" t="str">
        <f>'Data Siswa'!C41&amp;""</f>
        <v/>
      </c>
      <c r="D48" s="11" t="str">
        <f>'Data Siswa'!F41&amp;""</f>
        <v/>
      </c>
      <c r="E48" s="261"/>
      <c r="F48" s="261"/>
      <c r="G48" s="261"/>
      <c r="H48" s="261"/>
      <c r="I48" s="261"/>
      <c r="J48" s="261"/>
      <c r="K48" s="261"/>
      <c r="L48" s="264" t="str">
        <f t="shared" si="2"/>
        <v/>
      </c>
      <c r="M48" s="260" t="str">
        <f t="shared" si="3"/>
        <v/>
      </c>
      <c r="N48" s="260" t="str">
        <f t="shared" si="4"/>
        <v/>
      </c>
      <c r="O48" s="261"/>
      <c r="P48" s="261"/>
      <c r="Q48" s="261"/>
      <c r="R48" s="261"/>
      <c r="S48" s="261"/>
      <c r="T48" s="264" t="str">
        <f t="shared" si="5"/>
        <v/>
      </c>
      <c r="U48" s="260" t="str">
        <f t="shared" si="6"/>
        <v/>
      </c>
      <c r="V48" s="260" t="str">
        <f t="shared" si="7"/>
        <v/>
      </c>
      <c r="X48" s="35" t="str">
        <f t="shared" si="8"/>
        <v>Kosong</v>
      </c>
      <c r="Y48" s="35"/>
      <c r="Z48" s="208" t="e">
        <f t="shared" si="9"/>
        <v>#DIV/0!</v>
      </c>
      <c r="AA48" s="208" t="e">
        <f t="shared" si="10"/>
        <v>#DIV/0!</v>
      </c>
    </row>
    <row r="49" spans="2:27">
      <c r="B49" s="7">
        <v>39</v>
      </c>
      <c r="C49" s="7" t="str">
        <f>'Data Siswa'!C42&amp;""</f>
        <v/>
      </c>
      <c r="D49" s="11" t="str">
        <f>'Data Siswa'!F42&amp;""</f>
        <v/>
      </c>
      <c r="E49" s="261"/>
      <c r="F49" s="261"/>
      <c r="G49" s="261"/>
      <c r="H49" s="261"/>
      <c r="I49" s="261"/>
      <c r="J49" s="261"/>
      <c r="K49" s="261"/>
      <c r="L49" s="264" t="str">
        <f t="shared" si="2"/>
        <v/>
      </c>
      <c r="M49" s="260" t="str">
        <f t="shared" si="3"/>
        <v/>
      </c>
      <c r="N49" s="260" t="str">
        <f t="shared" si="4"/>
        <v/>
      </c>
      <c r="O49" s="261"/>
      <c r="P49" s="261"/>
      <c r="Q49" s="261"/>
      <c r="R49" s="261"/>
      <c r="S49" s="261"/>
      <c r="T49" s="264" t="str">
        <f t="shared" si="5"/>
        <v/>
      </c>
      <c r="U49" s="260" t="str">
        <f t="shared" si="6"/>
        <v/>
      </c>
      <c r="V49" s="260" t="str">
        <f t="shared" si="7"/>
        <v/>
      </c>
      <c r="X49" s="35" t="str">
        <f t="shared" si="8"/>
        <v>Kosong</v>
      </c>
      <c r="Y49" s="35"/>
      <c r="Z49" s="208" t="e">
        <f t="shared" si="9"/>
        <v>#DIV/0!</v>
      </c>
      <c r="AA49" s="208" t="e">
        <f t="shared" si="10"/>
        <v>#DIV/0!</v>
      </c>
    </row>
    <row r="50" spans="2:27">
      <c r="B50" s="7">
        <v>40</v>
      </c>
      <c r="C50" s="7" t="str">
        <f>'Data Siswa'!C43&amp;""</f>
        <v/>
      </c>
      <c r="D50" s="11" t="str">
        <f>'Data Siswa'!F43&amp;""</f>
        <v/>
      </c>
      <c r="E50" s="261"/>
      <c r="F50" s="261"/>
      <c r="G50" s="261"/>
      <c r="H50" s="261"/>
      <c r="I50" s="261"/>
      <c r="J50" s="261"/>
      <c r="K50" s="261"/>
      <c r="L50" s="264" t="str">
        <f t="shared" si="2"/>
        <v/>
      </c>
      <c r="M50" s="260" t="str">
        <f t="shared" si="3"/>
        <v/>
      </c>
      <c r="N50" s="260" t="str">
        <f t="shared" si="4"/>
        <v/>
      </c>
      <c r="O50" s="261"/>
      <c r="P50" s="261"/>
      <c r="Q50" s="261"/>
      <c r="R50" s="261"/>
      <c r="S50" s="261"/>
      <c r="T50" s="264" t="str">
        <f t="shared" si="5"/>
        <v/>
      </c>
      <c r="U50" s="260" t="str">
        <f t="shared" si="6"/>
        <v/>
      </c>
      <c r="V50" s="260" t="str">
        <f t="shared" si="7"/>
        <v/>
      </c>
      <c r="X50" s="35" t="str">
        <f t="shared" si="8"/>
        <v>Kosong</v>
      </c>
      <c r="Y50" s="35"/>
      <c r="Z50" s="208" t="e">
        <f t="shared" si="9"/>
        <v>#DIV/0!</v>
      </c>
      <c r="AA50" s="208" t="e">
        <f t="shared" si="10"/>
        <v>#DIV/0!</v>
      </c>
    </row>
    <row r="51" spans="2:27">
      <c r="B51" s="7">
        <v>41</v>
      </c>
      <c r="C51" s="7" t="str">
        <f>'Data Siswa'!C44&amp;""</f>
        <v/>
      </c>
      <c r="D51" s="11" t="str">
        <f>'Data Siswa'!F44&amp;""</f>
        <v/>
      </c>
      <c r="E51" s="261"/>
      <c r="F51" s="261"/>
      <c r="G51" s="261"/>
      <c r="H51" s="261"/>
      <c r="I51" s="261"/>
      <c r="J51" s="261"/>
      <c r="K51" s="261"/>
      <c r="L51" s="264" t="str">
        <f t="shared" si="2"/>
        <v/>
      </c>
      <c r="M51" s="260" t="str">
        <f t="shared" si="3"/>
        <v/>
      </c>
      <c r="N51" s="260" t="str">
        <f t="shared" si="4"/>
        <v/>
      </c>
      <c r="O51" s="261"/>
      <c r="P51" s="261"/>
      <c r="Q51" s="261"/>
      <c r="R51" s="261"/>
      <c r="S51" s="261"/>
      <c r="T51" s="264" t="str">
        <f t="shared" si="5"/>
        <v/>
      </c>
      <c r="U51" s="260" t="str">
        <f t="shared" si="6"/>
        <v/>
      </c>
      <c r="V51" s="260" t="str">
        <f t="shared" si="7"/>
        <v/>
      </c>
      <c r="X51" s="35" t="str">
        <f t="shared" si="8"/>
        <v>Kosong</v>
      </c>
      <c r="Y51" s="35"/>
      <c r="Z51" s="208" t="e">
        <f t="shared" si="9"/>
        <v>#DIV/0!</v>
      </c>
      <c r="AA51" s="208" t="e">
        <f t="shared" si="10"/>
        <v>#DIV/0!</v>
      </c>
    </row>
    <row r="52" spans="2:27">
      <c r="B52" s="7">
        <v>42</v>
      </c>
      <c r="C52" s="7" t="str">
        <f>'Data Siswa'!C45&amp;""</f>
        <v/>
      </c>
      <c r="D52" s="11" t="str">
        <f>'Data Siswa'!F45&amp;""</f>
        <v/>
      </c>
      <c r="E52" s="261"/>
      <c r="F52" s="261"/>
      <c r="G52" s="261"/>
      <c r="H52" s="261"/>
      <c r="I52" s="261"/>
      <c r="J52" s="261"/>
      <c r="K52" s="261"/>
      <c r="L52" s="264" t="str">
        <f t="shared" si="2"/>
        <v/>
      </c>
      <c r="M52" s="260" t="str">
        <f t="shared" si="3"/>
        <v/>
      </c>
      <c r="N52" s="260" t="str">
        <f t="shared" si="4"/>
        <v/>
      </c>
      <c r="O52" s="261"/>
      <c r="P52" s="261"/>
      <c r="Q52" s="261"/>
      <c r="R52" s="261"/>
      <c r="S52" s="261"/>
      <c r="T52" s="264" t="str">
        <f t="shared" si="5"/>
        <v/>
      </c>
      <c r="U52" s="260" t="str">
        <f t="shared" si="6"/>
        <v/>
      </c>
      <c r="V52" s="260" t="str">
        <f t="shared" si="7"/>
        <v/>
      </c>
      <c r="X52" s="35" t="str">
        <f t="shared" si="8"/>
        <v>Kosong</v>
      </c>
      <c r="Y52" s="35"/>
      <c r="Z52" s="208" t="e">
        <f t="shared" si="9"/>
        <v>#DIV/0!</v>
      </c>
      <c r="AA52" s="208" t="e">
        <f t="shared" si="10"/>
        <v>#DIV/0!</v>
      </c>
    </row>
    <row r="53" spans="2:27">
      <c r="B53" s="7">
        <v>43</v>
      </c>
      <c r="C53" s="7" t="str">
        <f>'Data Siswa'!C46&amp;""</f>
        <v/>
      </c>
      <c r="D53" s="11" t="str">
        <f>'Data Siswa'!F46&amp;""</f>
        <v/>
      </c>
      <c r="E53" s="261"/>
      <c r="F53" s="261"/>
      <c r="G53" s="261"/>
      <c r="H53" s="261"/>
      <c r="I53" s="261"/>
      <c r="J53" s="261"/>
      <c r="K53" s="261"/>
      <c r="L53" s="264" t="str">
        <f t="shared" si="2"/>
        <v/>
      </c>
      <c r="M53" s="260" t="str">
        <f t="shared" si="3"/>
        <v/>
      </c>
      <c r="N53" s="260" t="str">
        <f t="shared" si="4"/>
        <v/>
      </c>
      <c r="O53" s="261"/>
      <c r="P53" s="261"/>
      <c r="Q53" s="261"/>
      <c r="R53" s="261"/>
      <c r="S53" s="261"/>
      <c r="T53" s="264" t="str">
        <f t="shared" si="5"/>
        <v/>
      </c>
      <c r="U53" s="260" t="str">
        <f t="shared" si="6"/>
        <v/>
      </c>
      <c r="V53" s="260" t="str">
        <f t="shared" si="7"/>
        <v/>
      </c>
      <c r="X53" s="35" t="str">
        <f t="shared" si="8"/>
        <v>Kosong</v>
      </c>
      <c r="Y53" s="35"/>
      <c r="Z53" s="208" t="e">
        <f t="shared" si="9"/>
        <v>#DIV/0!</v>
      </c>
      <c r="AA53" s="208" t="e">
        <f t="shared" si="10"/>
        <v>#DIV/0!</v>
      </c>
    </row>
    <row r="54" spans="2:27">
      <c r="B54" s="7">
        <v>44</v>
      </c>
      <c r="C54" s="7" t="str">
        <f>'Data Siswa'!C47&amp;""</f>
        <v/>
      </c>
      <c r="D54" s="11" t="str">
        <f>'Data Siswa'!F47&amp;""</f>
        <v/>
      </c>
      <c r="E54" s="261"/>
      <c r="F54" s="261"/>
      <c r="G54" s="261"/>
      <c r="H54" s="261"/>
      <c r="I54" s="261"/>
      <c r="J54" s="261"/>
      <c r="K54" s="261"/>
      <c r="L54" s="264" t="str">
        <f t="shared" si="2"/>
        <v/>
      </c>
      <c r="M54" s="260" t="str">
        <f t="shared" si="3"/>
        <v/>
      </c>
      <c r="N54" s="260" t="str">
        <f t="shared" si="4"/>
        <v/>
      </c>
      <c r="O54" s="261"/>
      <c r="P54" s="261"/>
      <c r="Q54" s="261"/>
      <c r="R54" s="261"/>
      <c r="S54" s="261"/>
      <c r="T54" s="264" t="str">
        <f t="shared" si="5"/>
        <v/>
      </c>
      <c r="U54" s="260" t="str">
        <f t="shared" si="6"/>
        <v/>
      </c>
      <c r="V54" s="260" t="str">
        <f t="shared" si="7"/>
        <v/>
      </c>
      <c r="X54" s="35" t="str">
        <f t="shared" si="8"/>
        <v>Kosong</v>
      </c>
      <c r="Y54" s="35"/>
      <c r="Z54" s="208" t="e">
        <f t="shared" si="9"/>
        <v>#DIV/0!</v>
      </c>
      <c r="AA54" s="208" t="e">
        <f t="shared" si="10"/>
        <v>#DIV/0!</v>
      </c>
    </row>
    <row r="55" spans="2:27">
      <c r="B55" s="7">
        <v>45</v>
      </c>
      <c r="C55" s="7" t="str">
        <f>'Data Siswa'!C48&amp;""</f>
        <v/>
      </c>
      <c r="D55" s="11" t="str">
        <f>'Data Siswa'!F48&amp;""</f>
        <v/>
      </c>
      <c r="E55" s="261"/>
      <c r="F55" s="261"/>
      <c r="G55" s="261"/>
      <c r="H55" s="261"/>
      <c r="I55" s="261"/>
      <c r="J55" s="261"/>
      <c r="K55" s="261"/>
      <c r="L55" s="264" t="str">
        <f t="shared" si="2"/>
        <v/>
      </c>
      <c r="M55" s="260" t="str">
        <f t="shared" si="3"/>
        <v/>
      </c>
      <c r="N55" s="260" t="str">
        <f t="shared" si="4"/>
        <v/>
      </c>
      <c r="O55" s="261"/>
      <c r="P55" s="261"/>
      <c r="Q55" s="261"/>
      <c r="R55" s="261"/>
      <c r="S55" s="261"/>
      <c r="T55" s="264" t="str">
        <f t="shared" si="5"/>
        <v/>
      </c>
      <c r="U55" s="260" t="str">
        <f t="shared" si="6"/>
        <v/>
      </c>
      <c r="V55" s="260" t="str">
        <f t="shared" si="7"/>
        <v/>
      </c>
      <c r="X55" s="35" t="str">
        <f t="shared" si="8"/>
        <v>Kosong</v>
      </c>
      <c r="Y55" s="35"/>
      <c r="Z55" s="208" t="e">
        <f t="shared" si="9"/>
        <v>#DIV/0!</v>
      </c>
      <c r="AA55" s="208" t="e">
        <f t="shared" si="10"/>
        <v>#DIV/0!</v>
      </c>
    </row>
    <row r="56" spans="2:27">
      <c r="B56" s="7">
        <v>46</v>
      </c>
      <c r="C56" s="7" t="str">
        <f>'Data Siswa'!C49&amp;""</f>
        <v/>
      </c>
      <c r="D56" s="11" t="str">
        <f>'Data Siswa'!F49&amp;""</f>
        <v/>
      </c>
      <c r="E56" s="261"/>
      <c r="F56" s="261"/>
      <c r="G56" s="261"/>
      <c r="H56" s="261"/>
      <c r="I56" s="261"/>
      <c r="J56" s="261"/>
      <c r="K56" s="261"/>
      <c r="L56" s="264" t="str">
        <f t="shared" si="2"/>
        <v/>
      </c>
      <c r="M56" s="260" t="str">
        <f t="shared" si="3"/>
        <v/>
      </c>
      <c r="N56" s="260" t="str">
        <f t="shared" si="4"/>
        <v/>
      </c>
      <c r="O56" s="261"/>
      <c r="P56" s="261"/>
      <c r="Q56" s="261"/>
      <c r="R56" s="261"/>
      <c r="S56" s="261"/>
      <c r="T56" s="264" t="str">
        <f t="shared" si="5"/>
        <v/>
      </c>
      <c r="U56" s="260" t="str">
        <f t="shared" si="6"/>
        <v/>
      </c>
      <c r="V56" s="260" t="str">
        <f t="shared" si="7"/>
        <v/>
      </c>
      <c r="X56" s="35" t="str">
        <f t="shared" si="8"/>
        <v>Kosong</v>
      </c>
      <c r="Y56" s="35"/>
      <c r="Z56" s="208" t="e">
        <f t="shared" si="9"/>
        <v>#DIV/0!</v>
      </c>
      <c r="AA56" s="208" t="e">
        <f t="shared" si="10"/>
        <v>#DIV/0!</v>
      </c>
    </row>
    <row r="57" spans="2:27">
      <c r="B57" s="7">
        <v>47</v>
      </c>
      <c r="C57" s="7" t="str">
        <f>'Data Siswa'!C50&amp;""</f>
        <v/>
      </c>
      <c r="D57" s="11" t="str">
        <f>'Data Siswa'!F50&amp;""</f>
        <v/>
      </c>
      <c r="E57" s="261"/>
      <c r="F57" s="261"/>
      <c r="G57" s="261"/>
      <c r="H57" s="261"/>
      <c r="I57" s="261"/>
      <c r="J57" s="261"/>
      <c r="K57" s="261"/>
      <c r="L57" s="264" t="str">
        <f t="shared" si="2"/>
        <v/>
      </c>
      <c r="M57" s="260" t="str">
        <f t="shared" si="3"/>
        <v/>
      </c>
      <c r="N57" s="260" t="str">
        <f t="shared" si="4"/>
        <v/>
      </c>
      <c r="O57" s="261"/>
      <c r="P57" s="261"/>
      <c r="Q57" s="261"/>
      <c r="R57" s="261"/>
      <c r="S57" s="261"/>
      <c r="T57" s="264" t="str">
        <f t="shared" si="5"/>
        <v/>
      </c>
      <c r="U57" s="260" t="str">
        <f t="shared" si="6"/>
        <v/>
      </c>
      <c r="V57" s="260" t="str">
        <f t="shared" si="7"/>
        <v/>
      </c>
      <c r="X57" s="35" t="str">
        <f t="shared" si="8"/>
        <v>Kosong</v>
      </c>
      <c r="Y57" s="35"/>
      <c r="Z57" s="208" t="e">
        <f t="shared" si="9"/>
        <v>#DIV/0!</v>
      </c>
      <c r="AA57" s="208" t="e">
        <f t="shared" si="10"/>
        <v>#DIV/0!</v>
      </c>
    </row>
    <row r="58" spans="2:27">
      <c r="B58" s="7">
        <v>48</v>
      </c>
      <c r="C58" s="7" t="str">
        <f>'Data Siswa'!C51&amp;""</f>
        <v/>
      </c>
      <c r="D58" s="11" t="str">
        <f>'Data Siswa'!F51&amp;""</f>
        <v/>
      </c>
      <c r="E58" s="261"/>
      <c r="F58" s="261"/>
      <c r="G58" s="261"/>
      <c r="H58" s="261"/>
      <c r="I58" s="261"/>
      <c r="J58" s="261"/>
      <c r="K58" s="261"/>
      <c r="L58" s="264" t="str">
        <f t="shared" si="2"/>
        <v/>
      </c>
      <c r="M58" s="260" t="str">
        <f t="shared" si="3"/>
        <v/>
      </c>
      <c r="N58" s="260" t="str">
        <f t="shared" si="4"/>
        <v/>
      </c>
      <c r="O58" s="261"/>
      <c r="P58" s="261"/>
      <c r="Q58" s="261"/>
      <c r="R58" s="261"/>
      <c r="S58" s="261"/>
      <c r="T58" s="264" t="str">
        <f t="shared" si="5"/>
        <v/>
      </c>
      <c r="U58" s="260" t="str">
        <f t="shared" si="6"/>
        <v/>
      </c>
      <c r="V58" s="260" t="str">
        <f t="shared" si="7"/>
        <v/>
      </c>
      <c r="X58" s="35" t="str">
        <f t="shared" si="8"/>
        <v>Kosong</v>
      </c>
      <c r="Y58" s="35"/>
      <c r="Z58" s="208" t="e">
        <f t="shared" si="9"/>
        <v>#DIV/0!</v>
      </c>
      <c r="AA58" s="208" t="e">
        <f t="shared" si="10"/>
        <v>#DIV/0!</v>
      </c>
    </row>
    <row r="59" spans="2:27">
      <c r="B59" s="7">
        <v>49</v>
      </c>
      <c r="C59" s="7" t="str">
        <f>'Data Siswa'!C52&amp;""</f>
        <v/>
      </c>
      <c r="D59" s="11" t="str">
        <f>'Data Siswa'!F52&amp;""</f>
        <v/>
      </c>
      <c r="E59" s="261"/>
      <c r="F59" s="261"/>
      <c r="G59" s="261"/>
      <c r="H59" s="261"/>
      <c r="I59" s="261"/>
      <c r="J59" s="261"/>
      <c r="K59" s="261"/>
      <c r="L59" s="264" t="str">
        <f t="shared" si="2"/>
        <v/>
      </c>
      <c r="M59" s="260" t="str">
        <f t="shared" si="3"/>
        <v/>
      </c>
      <c r="N59" s="260" t="str">
        <f t="shared" si="4"/>
        <v/>
      </c>
      <c r="O59" s="261"/>
      <c r="P59" s="261"/>
      <c r="Q59" s="261"/>
      <c r="R59" s="261"/>
      <c r="S59" s="261"/>
      <c r="T59" s="264" t="str">
        <f t="shared" si="5"/>
        <v/>
      </c>
      <c r="U59" s="260" t="str">
        <f t="shared" si="6"/>
        <v/>
      </c>
      <c r="V59" s="260" t="str">
        <f t="shared" si="7"/>
        <v/>
      </c>
      <c r="X59" s="35" t="str">
        <f t="shared" si="8"/>
        <v>Kosong</v>
      </c>
      <c r="Y59" s="35"/>
      <c r="Z59" s="208" t="e">
        <f t="shared" si="9"/>
        <v>#DIV/0!</v>
      </c>
      <c r="AA59" s="208" t="e">
        <f t="shared" si="10"/>
        <v>#DIV/0!</v>
      </c>
    </row>
    <row r="60" spans="2:27">
      <c r="B60" s="7">
        <v>50</v>
      </c>
      <c r="C60" s="7" t="str">
        <f>'Data Siswa'!C53&amp;""</f>
        <v/>
      </c>
      <c r="D60" s="11" t="str">
        <f>'Data Siswa'!F53&amp;""</f>
        <v/>
      </c>
      <c r="E60" s="261"/>
      <c r="F60" s="261"/>
      <c r="G60" s="261"/>
      <c r="H60" s="261"/>
      <c r="I60" s="261"/>
      <c r="J60" s="261"/>
      <c r="K60" s="261"/>
      <c r="L60" s="264" t="str">
        <f t="shared" si="2"/>
        <v/>
      </c>
      <c r="M60" s="260" t="str">
        <f t="shared" si="3"/>
        <v/>
      </c>
      <c r="N60" s="260" t="str">
        <f t="shared" si="4"/>
        <v/>
      </c>
      <c r="O60" s="261"/>
      <c r="P60" s="261"/>
      <c r="Q60" s="261"/>
      <c r="R60" s="261"/>
      <c r="S60" s="261"/>
      <c r="T60" s="264" t="str">
        <f t="shared" si="5"/>
        <v/>
      </c>
      <c r="U60" s="260" t="str">
        <f t="shared" si="6"/>
        <v/>
      </c>
      <c r="V60" s="260" t="str">
        <f t="shared" si="7"/>
        <v/>
      </c>
      <c r="X60" s="35" t="str">
        <f t="shared" si="8"/>
        <v>Kosong</v>
      </c>
      <c r="Y60" s="35"/>
      <c r="Z60" s="208" t="e">
        <f t="shared" si="9"/>
        <v>#DIV/0!</v>
      </c>
      <c r="AA60" s="208" t="e">
        <f t="shared" si="10"/>
        <v>#DIV/0!</v>
      </c>
    </row>
    <row r="63" spans="2:27" ht="25" customHeight="1">
      <c r="B63" s="614" t="s">
        <v>167</v>
      </c>
      <c r="C63" s="615"/>
      <c r="D63" s="214" t="s">
        <v>168</v>
      </c>
      <c r="P63" s="377" t="str">
        <f>Kabupaten&amp;", "&amp;TEXT(Tgl_rapor,"DD MMMM YYYY")</f>
        <v>Wonogiri, 15 Juni 2022</v>
      </c>
    </row>
    <row r="64" spans="2:27">
      <c r="B64" s="613">
        <v>5</v>
      </c>
      <c r="C64" s="449"/>
      <c r="D64" s="215" t="s">
        <v>162</v>
      </c>
      <c r="P64" s="330" t="str">
        <f>UPPER("Kepala "&amp;Nama_Sekolah)</f>
        <v>KEPALA SEKOLAH DASAR NEGERI 1 GIRIHARJO</v>
      </c>
    </row>
    <row r="65" spans="2:16">
      <c r="B65" s="613">
        <v>4</v>
      </c>
      <c r="C65" s="449"/>
      <c r="D65" s="215" t="s">
        <v>163</v>
      </c>
      <c r="P65" s="330" t="str">
        <f>UPPER(Kab_Kota&amp;" "&amp;Kabupaten&amp;",")</f>
        <v>KABUPATEN WONOGIRI,</v>
      </c>
    </row>
    <row r="66" spans="2:16">
      <c r="B66" s="613">
        <v>3</v>
      </c>
      <c r="C66" s="449"/>
      <c r="D66" s="215" t="s">
        <v>164</v>
      </c>
      <c r="P66" s="330"/>
    </row>
    <row r="67" spans="2:16">
      <c r="B67" s="613">
        <v>2</v>
      </c>
      <c r="C67" s="449"/>
      <c r="D67" s="215" t="s">
        <v>166</v>
      </c>
      <c r="P67" s="330"/>
    </row>
    <row r="68" spans="2:16">
      <c r="B68" s="613">
        <v>1</v>
      </c>
      <c r="C68" s="449"/>
      <c r="D68" s="215" t="s">
        <v>165</v>
      </c>
      <c r="P68" s="332">
        <f>Kepsek</f>
        <v>0</v>
      </c>
    </row>
    <row r="69" spans="2:16">
      <c r="P69" s="334">
        <f>Pangkat_gol</f>
        <v>0</v>
      </c>
    </row>
    <row r="70" spans="2:16">
      <c r="P70" s="335">
        <f>NIP_Kepsek</f>
        <v>0</v>
      </c>
    </row>
    <row r="72" spans="2:16">
      <c r="B72" s="192" t="s">
        <v>134</v>
      </c>
    </row>
  </sheetData>
  <sheetProtection password="CC5B" sheet="1" objects="1" scenarios="1" autoFilter="0"/>
  <autoFilter ref="X10:X60"/>
  <mergeCells count="19">
    <mergeCell ref="B1:D1"/>
    <mergeCell ref="B8:B10"/>
    <mergeCell ref="C8:C10"/>
    <mergeCell ref="D8:D10"/>
    <mergeCell ref="M8:M10"/>
    <mergeCell ref="B2:V2"/>
    <mergeCell ref="E8:K8"/>
    <mergeCell ref="O8:S8"/>
    <mergeCell ref="L8:L10"/>
    <mergeCell ref="N8:N10"/>
    <mergeCell ref="T8:T10"/>
    <mergeCell ref="V8:V10"/>
    <mergeCell ref="U8:U10"/>
    <mergeCell ref="B67:C67"/>
    <mergeCell ref="B68:C68"/>
    <mergeCell ref="B63:C63"/>
    <mergeCell ref="B64:C64"/>
    <mergeCell ref="B65:C65"/>
    <mergeCell ref="B66:C66"/>
  </mergeCells>
  <dataValidations count="1">
    <dataValidation type="decimal" allowBlank="1" showInputMessage="1" showErrorMessage="1" error="Print saja !" promptTitle="Peringatan" sqref="P70 P66:P68">
      <formula1>-1</formula1>
      <formula2>-1</formula2>
    </dataValidation>
  </dataValidations>
  <pageMargins left="1.299212598425197" right="0.31496062992125984" top="0.55118110236220474" bottom="0.35433070866141736" header="0.31496062992125984" footer="0.31496062992125984"/>
  <pageSetup paperSize="141" scale="73" orientation="landscape" blackAndWhite="1" horizontalDpi="300" verticalDpi="300" r:id="rId1"/>
  <colBreaks count="1" manualBreakCount="1">
    <brk id="22" max="5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65"/>
  <sheetViews>
    <sheetView showGridLines="0" tabSelected="1" view="pageBreakPreview" zoomScale="80" zoomScaleSheetLayoutView="80" workbookViewId="0">
      <selection activeCell="F27" sqref="F27"/>
    </sheetView>
  </sheetViews>
  <sheetFormatPr defaultColWidth="0" defaultRowHeight="14.5"/>
  <cols>
    <col min="1" max="1" width="3.81640625" style="9" customWidth="1"/>
    <col min="2" max="2" width="5.7265625" style="8" bestFit="1" customWidth="1"/>
    <col min="3" max="3" width="9.1796875" style="8" customWidth="1"/>
    <col min="4" max="4" width="11.453125" style="8" customWidth="1"/>
    <col min="5" max="5" width="25.26953125" style="8" customWidth="1"/>
    <col min="6" max="6" width="40.54296875" style="8" customWidth="1"/>
    <col min="7" max="7" width="5.26953125" style="9" customWidth="1"/>
    <col min="8" max="8" width="12.1796875" style="9" customWidth="1"/>
    <col min="9" max="9" width="13.453125" style="8" customWidth="1"/>
    <col min="10" max="10" width="18.26953125" style="43" customWidth="1"/>
    <col min="11" max="11" width="20.7265625" style="8" customWidth="1"/>
    <col min="12" max="12" width="3.1796875" style="8" customWidth="1"/>
    <col min="13" max="13" width="9.1796875" style="9" hidden="1" customWidth="1"/>
    <col min="14" max="14" width="5.1796875" style="9" hidden="1" customWidth="1"/>
    <col min="15" max="15" width="9.1796875" style="47" hidden="1" customWidth="1"/>
    <col min="16" max="29" width="9.1796875" style="8" hidden="1" customWidth="1"/>
    <col min="30" max="16384" width="9.1796875" style="9" hidden="1"/>
  </cols>
  <sheetData>
    <row r="1" spans="2:36" ht="32.25" customHeight="1">
      <c r="E1" s="39"/>
      <c r="F1" s="38" t="s">
        <v>33</v>
      </c>
      <c r="G1" s="40"/>
      <c r="H1" s="40"/>
      <c r="I1" s="39"/>
      <c r="J1" s="41"/>
      <c r="K1" s="39"/>
      <c r="L1" s="42"/>
      <c r="O1" s="8"/>
    </row>
    <row r="2" spans="2:36">
      <c r="O2" s="44"/>
    </row>
    <row r="3" spans="2:36" ht="21" customHeight="1">
      <c r="B3" s="45" t="s">
        <v>7</v>
      </c>
      <c r="C3" s="45" t="s">
        <v>34</v>
      </c>
      <c r="D3" s="45" t="s">
        <v>40</v>
      </c>
      <c r="E3" s="45" t="s">
        <v>35</v>
      </c>
      <c r="F3" s="45" t="s">
        <v>36</v>
      </c>
      <c r="G3" s="431" t="s">
        <v>72</v>
      </c>
      <c r="H3" s="432"/>
      <c r="I3" s="45" t="s">
        <v>37</v>
      </c>
      <c r="J3" s="46" t="s">
        <v>38</v>
      </c>
      <c r="K3" s="45" t="s">
        <v>39</v>
      </c>
      <c r="L3" s="9"/>
      <c r="O3" s="44"/>
      <c r="P3" s="379">
        <f>PENGATURAN!K21</f>
        <v>8</v>
      </c>
      <c r="Q3" s="10" t="str">
        <f>IF(P3=9,"AA",IF(P3=8,"BB",IF(P3=7,"CC",IF(P3=6,"DD",IF(P3=5,"EE",IF(P3=4,"FF",IF(P3=3,"GG",IF(P3=2,"HH","XX"))))))))</f>
        <v>BB</v>
      </c>
      <c r="R3" s="9" t="s">
        <v>47</v>
      </c>
      <c r="S3" s="9"/>
      <c r="T3" s="9"/>
      <c r="U3" s="8" t="s">
        <v>48</v>
      </c>
      <c r="V3" s="8" t="s">
        <v>49</v>
      </c>
      <c r="W3" s="8" t="s">
        <v>50</v>
      </c>
      <c r="X3" s="8" t="s">
        <v>51</v>
      </c>
      <c r="Y3" s="8" t="s">
        <v>52</v>
      </c>
      <c r="Z3" s="8" t="s">
        <v>53</v>
      </c>
      <c r="AA3" s="8" t="s">
        <v>54</v>
      </c>
      <c r="AB3" s="8" t="s">
        <v>55</v>
      </c>
      <c r="AC3" s="8" t="s">
        <v>56</v>
      </c>
      <c r="AJ3" s="200" t="s">
        <v>71</v>
      </c>
    </row>
    <row r="4" spans="2:36">
      <c r="B4" s="193">
        <v>1</v>
      </c>
      <c r="C4" s="194">
        <v>2887</v>
      </c>
      <c r="D4" s="195"/>
      <c r="E4" s="205" t="str">
        <f>IF(C4="","",CONCATENATE(PENGATURAN!$K$15,"-",PENGATURAN!$K$16,"-",PENGATURAN!$K$17,"-",PENGATURAN!$K$18,"-",PENGATURAN!$K$19,"-",O4,"-",Q4))</f>
        <v>1-22-03-21-0827-0001-8</v>
      </c>
      <c r="F4" s="410"/>
      <c r="G4" s="194" t="s">
        <v>42</v>
      </c>
      <c r="H4" s="205" t="str">
        <f>IF(AND(F4&lt;&gt;0,G4&lt;&gt;0),IF(G4="L","Laki-laki","Perempuan"),"")</f>
        <v/>
      </c>
      <c r="I4" s="196" t="s">
        <v>63</v>
      </c>
      <c r="J4" s="253"/>
      <c r="K4" s="196"/>
      <c r="L4" s="9"/>
      <c r="N4" s="374" t="str">
        <f>PENGATURAN!K20</f>
        <v>1</v>
      </c>
      <c r="O4" s="375" t="str">
        <f t="shared" ref="O4:O35" si="0">TEXT(N4,"0000")</f>
        <v>0001</v>
      </c>
      <c r="Q4" s="8">
        <f t="shared" ref="Q4:Q35" si="1">HLOOKUP($Q$3,NOMOR_AKHIR,R4)</f>
        <v>8</v>
      </c>
      <c r="R4" s="8">
        <v>2</v>
      </c>
      <c r="T4" s="8">
        <v>1</v>
      </c>
      <c r="U4" s="8">
        <v>9</v>
      </c>
      <c r="V4" s="8">
        <v>8</v>
      </c>
      <c r="W4" s="8">
        <v>7</v>
      </c>
      <c r="X4" s="8">
        <v>6</v>
      </c>
      <c r="Y4" s="8">
        <v>5</v>
      </c>
      <c r="Z4" s="8">
        <v>4</v>
      </c>
      <c r="AA4" s="8">
        <v>3</v>
      </c>
      <c r="AB4" s="8">
        <v>2</v>
      </c>
      <c r="AC4" s="8" t="s">
        <v>57</v>
      </c>
      <c r="AJ4" s="71" t="str">
        <f t="shared" ref="AJ4:AJ35" si="2">IF(F4="","Kosong","Data")</f>
        <v>Kosong</v>
      </c>
    </row>
    <row r="5" spans="2:36">
      <c r="B5" s="193">
        <v>2</v>
      </c>
      <c r="C5" s="194">
        <v>2888</v>
      </c>
      <c r="D5" s="195"/>
      <c r="E5" s="205" t="str">
        <f>IF(C5="","",CONCATENATE(PENGATURAN!$K$15,"-",PENGATURAN!$K$16,"-",PENGATURAN!$K$17,"-",PENGATURAN!$K$18,"-",PENGATURAN!$K$19,"-",O5,"-",Q5))</f>
        <v>1-22-03-21-0827-0002-7</v>
      </c>
      <c r="F5" s="410"/>
      <c r="G5" s="194" t="s">
        <v>41</v>
      </c>
      <c r="H5" s="205" t="str">
        <f t="shared" ref="H5:H53" si="3">IF(AND(F5&lt;&gt;0,G5&lt;&gt;0),IF(G5="L","Laki-laki","Perempuan"),"")</f>
        <v/>
      </c>
      <c r="I5" s="196" t="s">
        <v>278</v>
      </c>
      <c r="J5" s="253"/>
      <c r="K5" s="196"/>
      <c r="L5" s="9"/>
      <c r="N5" s="374">
        <f>N4+1</f>
        <v>2</v>
      </c>
      <c r="O5" s="375" t="str">
        <f t="shared" si="0"/>
        <v>0002</v>
      </c>
      <c r="Q5" s="8">
        <f t="shared" si="1"/>
        <v>7</v>
      </c>
      <c r="R5" s="8">
        <v>3</v>
      </c>
      <c r="T5" s="8">
        <v>2</v>
      </c>
      <c r="U5" s="8">
        <v>8</v>
      </c>
      <c r="V5" s="8">
        <v>7</v>
      </c>
      <c r="W5" s="8">
        <v>6</v>
      </c>
      <c r="X5" s="8">
        <v>5</v>
      </c>
      <c r="Y5" s="8">
        <v>4</v>
      </c>
      <c r="Z5" s="8">
        <v>3</v>
      </c>
      <c r="AA5" s="8">
        <v>2</v>
      </c>
      <c r="AB5" s="8">
        <v>9</v>
      </c>
      <c r="AC5" s="8" t="s">
        <v>57</v>
      </c>
      <c r="AJ5" s="71" t="str">
        <f t="shared" si="2"/>
        <v>Kosong</v>
      </c>
    </row>
    <row r="6" spans="2:36">
      <c r="B6" s="193">
        <v>3</v>
      </c>
      <c r="C6" s="194">
        <v>2886</v>
      </c>
      <c r="D6" s="195"/>
      <c r="E6" s="205" t="str">
        <f>IF(C6="","",CONCATENATE(PENGATURAN!$K$15,"-",PENGATURAN!$K$16,"-",PENGATURAN!$K$17,"-",PENGATURAN!$K$18,"-",PENGATURAN!$K$19,"-",O6,"-",Q6))</f>
        <v>1-22-03-21-0827-0003-6</v>
      </c>
      <c r="F6" s="410"/>
      <c r="G6" s="194" t="s">
        <v>42</v>
      </c>
      <c r="H6" s="205" t="str">
        <f t="shared" si="3"/>
        <v/>
      </c>
      <c r="I6" s="196" t="s">
        <v>63</v>
      </c>
      <c r="J6" s="253"/>
      <c r="K6" s="196"/>
      <c r="L6" s="9"/>
      <c r="N6" s="374">
        <f>N5+1</f>
        <v>3</v>
      </c>
      <c r="O6" s="375" t="str">
        <f t="shared" si="0"/>
        <v>0003</v>
      </c>
      <c r="Q6" s="8">
        <f t="shared" si="1"/>
        <v>6</v>
      </c>
      <c r="R6" s="8">
        <v>4</v>
      </c>
      <c r="T6" s="8">
        <v>3</v>
      </c>
      <c r="U6" s="8">
        <v>7</v>
      </c>
      <c r="V6" s="8">
        <v>6</v>
      </c>
      <c r="W6" s="8">
        <v>5</v>
      </c>
      <c r="X6" s="8">
        <v>4</v>
      </c>
      <c r="Y6" s="8">
        <v>3</v>
      </c>
      <c r="Z6" s="8">
        <v>2</v>
      </c>
      <c r="AA6" s="8">
        <v>9</v>
      </c>
      <c r="AB6" s="8">
        <v>8</v>
      </c>
      <c r="AC6" s="8" t="s">
        <v>57</v>
      </c>
      <c r="AJ6" s="71" t="str">
        <f t="shared" si="2"/>
        <v>Kosong</v>
      </c>
    </row>
    <row r="7" spans="2:36">
      <c r="B7" s="193">
        <v>4</v>
      </c>
      <c r="C7" s="194">
        <v>2864</v>
      </c>
      <c r="D7" s="195"/>
      <c r="E7" s="205" t="str">
        <f>IF(C7="","",CONCATENATE(PENGATURAN!$K$15,"-",PENGATURAN!$K$16,"-",PENGATURAN!$K$17,"-",PENGATURAN!$K$18,"-",PENGATURAN!$K$19,"-",O7,"-",Q7))</f>
        <v>1-22-03-21-0827-0004-5</v>
      </c>
      <c r="F7" s="410"/>
      <c r="G7" s="194" t="s">
        <v>41</v>
      </c>
      <c r="H7" s="205" t="str">
        <f t="shared" si="3"/>
        <v/>
      </c>
      <c r="I7" s="196" t="s">
        <v>63</v>
      </c>
      <c r="J7" s="253"/>
      <c r="K7" s="196"/>
      <c r="L7" s="9"/>
      <c r="N7" s="374">
        <f t="shared" ref="N7:N53" si="4">N6+1</f>
        <v>4</v>
      </c>
      <c r="O7" s="375" t="str">
        <f t="shared" si="0"/>
        <v>0004</v>
      </c>
      <c r="Q7" s="8">
        <f t="shared" si="1"/>
        <v>5</v>
      </c>
      <c r="R7" s="8">
        <v>5</v>
      </c>
      <c r="T7" s="8">
        <v>4</v>
      </c>
      <c r="U7" s="8">
        <v>6</v>
      </c>
      <c r="V7" s="8">
        <v>5</v>
      </c>
      <c r="W7" s="8">
        <v>4</v>
      </c>
      <c r="X7" s="8">
        <v>3</v>
      </c>
      <c r="Y7" s="8">
        <v>2</v>
      </c>
      <c r="Z7" s="8">
        <v>9</v>
      </c>
      <c r="AA7" s="8">
        <v>8</v>
      </c>
      <c r="AB7" s="8">
        <v>7</v>
      </c>
      <c r="AC7" s="8" t="s">
        <v>57</v>
      </c>
      <c r="AJ7" s="71" t="str">
        <f t="shared" si="2"/>
        <v>Kosong</v>
      </c>
    </row>
    <row r="8" spans="2:36">
      <c r="B8" s="193">
        <v>5</v>
      </c>
      <c r="C8" s="194">
        <v>2890</v>
      </c>
      <c r="D8" s="195"/>
      <c r="E8" s="205" t="str">
        <f>IF(C8="","",CONCATENATE(PENGATURAN!$K$15,"-",PENGATURAN!$K$16,"-",PENGATURAN!$K$17,"-",PENGATURAN!$K$18,"-",PENGATURAN!$K$19,"-",O8,"-",Q8))</f>
        <v>1-22-03-21-0827-0005-4</v>
      </c>
      <c r="F8" s="410"/>
      <c r="G8" s="194" t="s">
        <v>42</v>
      </c>
      <c r="H8" s="205" t="str">
        <f t="shared" si="3"/>
        <v/>
      </c>
      <c r="I8" s="196" t="s">
        <v>63</v>
      </c>
      <c r="J8" s="253"/>
      <c r="K8" s="196"/>
      <c r="L8" s="9"/>
      <c r="N8" s="374">
        <f t="shared" si="4"/>
        <v>5</v>
      </c>
      <c r="O8" s="375" t="str">
        <f t="shared" si="0"/>
        <v>0005</v>
      </c>
      <c r="Q8" s="8">
        <f t="shared" si="1"/>
        <v>4</v>
      </c>
      <c r="R8" s="8">
        <v>6</v>
      </c>
      <c r="T8" s="8">
        <v>5</v>
      </c>
      <c r="U8" s="8">
        <v>5</v>
      </c>
      <c r="V8" s="8">
        <v>4</v>
      </c>
      <c r="W8" s="8">
        <v>3</v>
      </c>
      <c r="X8" s="8">
        <v>2</v>
      </c>
      <c r="Y8" s="8">
        <v>9</v>
      </c>
      <c r="Z8" s="8">
        <v>8</v>
      </c>
      <c r="AA8" s="8">
        <v>7</v>
      </c>
      <c r="AB8" s="8">
        <v>6</v>
      </c>
      <c r="AC8" s="8" t="s">
        <v>57</v>
      </c>
      <c r="AJ8" s="71" t="str">
        <f t="shared" si="2"/>
        <v>Kosong</v>
      </c>
    </row>
    <row r="9" spans="2:36">
      <c r="B9" s="193">
        <v>6</v>
      </c>
      <c r="C9" s="194">
        <v>2889</v>
      </c>
      <c r="D9" s="195"/>
      <c r="E9" s="205" t="str">
        <f>IF(C9="","",CONCATENATE(PENGATURAN!$K$15,"-",PENGATURAN!$K$16,"-",PENGATURAN!$K$17,"-",PENGATURAN!$K$18,"-",PENGATURAN!$K$19,"-",O9,"-",Q9))</f>
        <v>1-22-03-21-0827-0006-3</v>
      </c>
      <c r="F9" s="410"/>
      <c r="G9" s="194" t="s">
        <v>41</v>
      </c>
      <c r="H9" s="205" t="str">
        <f t="shared" si="3"/>
        <v/>
      </c>
      <c r="I9" s="196" t="s">
        <v>63</v>
      </c>
      <c r="J9" s="253"/>
      <c r="K9" s="196"/>
      <c r="L9" s="9"/>
      <c r="N9" s="374">
        <f t="shared" si="4"/>
        <v>6</v>
      </c>
      <c r="O9" s="375" t="str">
        <f t="shared" si="0"/>
        <v>0006</v>
      </c>
      <c r="Q9" s="8">
        <f t="shared" si="1"/>
        <v>3</v>
      </c>
      <c r="R9" s="8">
        <v>7</v>
      </c>
      <c r="T9" s="8">
        <v>6</v>
      </c>
      <c r="U9" s="8">
        <v>4</v>
      </c>
      <c r="V9" s="8">
        <v>3</v>
      </c>
      <c r="W9" s="8">
        <v>2</v>
      </c>
      <c r="X9" s="8">
        <v>9</v>
      </c>
      <c r="Y9" s="8">
        <v>8</v>
      </c>
      <c r="Z9" s="8">
        <v>7</v>
      </c>
      <c r="AA9" s="8">
        <v>6</v>
      </c>
      <c r="AB9" s="8">
        <v>5</v>
      </c>
      <c r="AC9" s="8" t="s">
        <v>57</v>
      </c>
      <c r="AJ9" s="71" t="str">
        <f t="shared" si="2"/>
        <v>Kosong</v>
      </c>
    </row>
    <row r="10" spans="2:36">
      <c r="B10" s="193">
        <v>7</v>
      </c>
      <c r="C10" s="194">
        <v>2891</v>
      </c>
      <c r="D10" s="195"/>
      <c r="E10" s="205" t="str">
        <f>IF(C10="","",CONCATENATE(PENGATURAN!$K$15,"-",PENGATURAN!$K$16,"-",PENGATURAN!$K$17,"-",PENGATURAN!$K$18,"-",PENGATURAN!$K$19,"-",O10,"-",Q10))</f>
        <v>1-22-03-21-0827-0007-2</v>
      </c>
      <c r="F10" s="410"/>
      <c r="G10" s="194" t="s">
        <v>42</v>
      </c>
      <c r="H10" s="205" t="str">
        <f t="shared" si="3"/>
        <v/>
      </c>
      <c r="I10" s="196" t="s">
        <v>63</v>
      </c>
      <c r="J10" s="253"/>
      <c r="K10" s="196"/>
      <c r="L10" s="9"/>
      <c r="N10" s="374">
        <f t="shared" si="4"/>
        <v>7</v>
      </c>
      <c r="O10" s="375" t="str">
        <f t="shared" si="0"/>
        <v>0007</v>
      </c>
      <c r="Q10" s="8">
        <f t="shared" si="1"/>
        <v>2</v>
      </c>
      <c r="R10" s="8">
        <v>8</v>
      </c>
      <c r="T10" s="8">
        <v>7</v>
      </c>
      <c r="U10" s="8">
        <v>3</v>
      </c>
      <c r="V10" s="8">
        <v>2</v>
      </c>
      <c r="W10" s="8">
        <v>9</v>
      </c>
      <c r="X10" s="8">
        <v>8</v>
      </c>
      <c r="Y10" s="8">
        <v>7</v>
      </c>
      <c r="Z10" s="8">
        <v>6</v>
      </c>
      <c r="AA10" s="8">
        <v>5</v>
      </c>
      <c r="AB10" s="8">
        <v>4</v>
      </c>
      <c r="AC10" s="8" t="s">
        <v>57</v>
      </c>
      <c r="AJ10" s="71" t="str">
        <f t="shared" si="2"/>
        <v>Kosong</v>
      </c>
    </row>
    <row r="11" spans="2:36">
      <c r="B11" s="193">
        <v>8</v>
      </c>
      <c r="C11" s="194">
        <v>2893</v>
      </c>
      <c r="D11" s="195"/>
      <c r="E11" s="205" t="str">
        <f>IF(C11="","",CONCATENATE(PENGATURAN!$K$15,"-",PENGATURAN!$K$16,"-",PENGATURAN!$K$17,"-",PENGATURAN!$K$18,"-",PENGATURAN!$K$19,"-",O11,"-",Q11))</f>
        <v>1-22-03-21-0827-0008-9</v>
      </c>
      <c r="F11" s="410"/>
      <c r="G11" s="194" t="s">
        <v>41</v>
      </c>
      <c r="H11" s="205" t="str">
        <f t="shared" si="3"/>
        <v/>
      </c>
      <c r="I11" s="196" t="s">
        <v>63</v>
      </c>
      <c r="J11" s="253"/>
      <c r="K11" s="196"/>
      <c r="L11" s="9"/>
      <c r="N11" s="374">
        <f t="shared" si="4"/>
        <v>8</v>
      </c>
      <c r="O11" s="375" t="str">
        <f t="shared" si="0"/>
        <v>0008</v>
      </c>
      <c r="Q11" s="8">
        <f t="shared" si="1"/>
        <v>9</v>
      </c>
      <c r="R11" s="8">
        <v>9</v>
      </c>
      <c r="T11" s="8">
        <v>8</v>
      </c>
      <c r="U11" s="8">
        <v>2</v>
      </c>
      <c r="V11" s="8">
        <v>9</v>
      </c>
      <c r="W11" s="8">
        <v>8</v>
      </c>
      <c r="X11" s="8">
        <v>7</v>
      </c>
      <c r="Y11" s="8">
        <v>6</v>
      </c>
      <c r="Z11" s="8">
        <v>5</v>
      </c>
      <c r="AA11" s="8">
        <v>4</v>
      </c>
      <c r="AB11" s="8">
        <v>3</v>
      </c>
      <c r="AC11" s="8" t="s">
        <v>57</v>
      </c>
      <c r="AJ11" s="71" t="str">
        <f t="shared" si="2"/>
        <v>Kosong</v>
      </c>
    </row>
    <row r="12" spans="2:36">
      <c r="B12" s="193">
        <v>9</v>
      </c>
      <c r="C12" s="194">
        <v>2892</v>
      </c>
      <c r="D12" s="195"/>
      <c r="E12" s="205" t="str">
        <f>IF(C12="","",CONCATENATE(PENGATURAN!$K$15,"-",PENGATURAN!$K$16,"-",PENGATURAN!$K$17,"-",PENGATURAN!$K$18,"-",PENGATURAN!$K$19,"-",O12,"-",Q12))</f>
        <v>1-22-03-21-0827-0009-8</v>
      </c>
      <c r="F12" s="410"/>
      <c r="G12" s="194" t="s">
        <v>42</v>
      </c>
      <c r="H12" s="205" t="str">
        <f t="shared" si="3"/>
        <v/>
      </c>
      <c r="I12" s="196" t="s">
        <v>63</v>
      </c>
      <c r="J12" s="253"/>
      <c r="K12" s="196"/>
      <c r="L12" s="9"/>
      <c r="N12" s="374">
        <f t="shared" si="4"/>
        <v>9</v>
      </c>
      <c r="O12" s="375" t="str">
        <f t="shared" si="0"/>
        <v>0009</v>
      </c>
      <c r="Q12" s="8">
        <f t="shared" si="1"/>
        <v>8</v>
      </c>
      <c r="R12" s="8">
        <v>10</v>
      </c>
      <c r="T12" s="8">
        <v>9</v>
      </c>
      <c r="U12" s="8">
        <v>9</v>
      </c>
      <c r="V12" s="8">
        <v>8</v>
      </c>
      <c r="W12" s="8">
        <v>7</v>
      </c>
      <c r="X12" s="8">
        <v>6</v>
      </c>
      <c r="Y12" s="8">
        <v>5</v>
      </c>
      <c r="Z12" s="8">
        <v>4</v>
      </c>
      <c r="AA12" s="8">
        <v>3</v>
      </c>
      <c r="AB12" s="8">
        <v>2</v>
      </c>
      <c r="AC12" s="8" t="s">
        <v>57</v>
      </c>
      <c r="AJ12" s="71" t="str">
        <f t="shared" si="2"/>
        <v>Kosong</v>
      </c>
    </row>
    <row r="13" spans="2:36">
      <c r="B13" s="193">
        <v>10</v>
      </c>
      <c r="C13" s="194">
        <v>2894</v>
      </c>
      <c r="D13" s="195"/>
      <c r="E13" s="205" t="str">
        <f>IF(C13="","",CONCATENATE(PENGATURAN!$K$15,"-",PENGATURAN!$K$16,"-",PENGATURAN!$K$17,"-",PENGATURAN!$K$18,"-",PENGATURAN!$K$19,"-",O13,"-",Q13))</f>
        <v>1-22-03-21-0827-0010-7</v>
      </c>
      <c r="F13" s="410"/>
      <c r="G13" s="194" t="s">
        <v>42</v>
      </c>
      <c r="H13" s="205" t="str">
        <f t="shared" si="3"/>
        <v/>
      </c>
      <c r="I13" s="196" t="s">
        <v>63</v>
      </c>
      <c r="J13" s="253"/>
      <c r="K13" s="196"/>
      <c r="L13" s="9"/>
      <c r="N13" s="374">
        <f t="shared" si="4"/>
        <v>10</v>
      </c>
      <c r="O13" s="375" t="str">
        <f t="shared" si="0"/>
        <v>0010</v>
      </c>
      <c r="Q13" s="8">
        <f t="shared" si="1"/>
        <v>7</v>
      </c>
      <c r="R13" s="8">
        <v>11</v>
      </c>
      <c r="T13" s="8">
        <v>10</v>
      </c>
      <c r="U13" s="8">
        <v>8</v>
      </c>
      <c r="V13" s="8">
        <v>7</v>
      </c>
      <c r="W13" s="8">
        <v>6</v>
      </c>
      <c r="X13" s="8">
        <v>5</v>
      </c>
      <c r="Y13" s="8">
        <v>4</v>
      </c>
      <c r="Z13" s="8">
        <v>3</v>
      </c>
      <c r="AA13" s="8">
        <v>2</v>
      </c>
      <c r="AB13" s="8">
        <v>9</v>
      </c>
      <c r="AC13" s="8" t="s">
        <v>57</v>
      </c>
      <c r="AJ13" s="71" t="str">
        <f t="shared" si="2"/>
        <v>Kosong</v>
      </c>
    </row>
    <row r="14" spans="2:36">
      <c r="B14" s="193">
        <v>11</v>
      </c>
      <c r="C14" s="194">
        <v>2895</v>
      </c>
      <c r="D14" s="195"/>
      <c r="E14" s="205" t="str">
        <f>IF(C14="","",CONCATENATE(PENGATURAN!$K$15,"-",PENGATURAN!$K$16,"-",PENGATURAN!$K$17,"-",PENGATURAN!$K$18,"-",PENGATURAN!$K$19,"-",O14,"-",Q14))</f>
        <v>1-22-03-21-0827-0011-6</v>
      </c>
      <c r="F14" s="410"/>
      <c r="G14" s="194" t="s">
        <v>42</v>
      </c>
      <c r="H14" s="205" t="str">
        <f t="shared" si="3"/>
        <v/>
      </c>
      <c r="I14" s="196" t="s">
        <v>63</v>
      </c>
      <c r="J14" s="253"/>
      <c r="K14" s="196"/>
      <c r="L14" s="9"/>
      <c r="N14" s="374">
        <f t="shared" si="4"/>
        <v>11</v>
      </c>
      <c r="O14" s="375" t="str">
        <f t="shared" si="0"/>
        <v>0011</v>
      </c>
      <c r="Q14" s="8">
        <f t="shared" si="1"/>
        <v>6</v>
      </c>
      <c r="R14" s="8">
        <v>12</v>
      </c>
      <c r="T14" s="8">
        <v>11</v>
      </c>
      <c r="U14" s="8">
        <v>7</v>
      </c>
      <c r="V14" s="8">
        <v>6</v>
      </c>
      <c r="W14" s="8">
        <v>5</v>
      </c>
      <c r="X14" s="8">
        <v>4</v>
      </c>
      <c r="Y14" s="8">
        <v>3</v>
      </c>
      <c r="Z14" s="8">
        <v>2</v>
      </c>
      <c r="AA14" s="8">
        <v>9</v>
      </c>
      <c r="AB14" s="8">
        <v>8</v>
      </c>
      <c r="AC14" s="8" t="s">
        <v>57</v>
      </c>
      <c r="AJ14" s="71" t="str">
        <f t="shared" si="2"/>
        <v>Kosong</v>
      </c>
    </row>
    <row r="15" spans="2:36">
      <c r="B15" s="193">
        <v>12</v>
      </c>
      <c r="C15" s="194">
        <v>2896</v>
      </c>
      <c r="D15" s="195"/>
      <c r="E15" s="205" t="str">
        <f>IF(C15="","",CONCATENATE(PENGATURAN!$K$15,"-",PENGATURAN!$K$16,"-",PENGATURAN!$K$17,"-",PENGATURAN!$K$18,"-",PENGATURAN!$K$19,"-",O15,"-",Q15))</f>
        <v>1-22-03-21-0827-0012-5</v>
      </c>
      <c r="F15" s="410"/>
      <c r="G15" s="194" t="s">
        <v>42</v>
      </c>
      <c r="H15" s="205" t="str">
        <f t="shared" si="3"/>
        <v/>
      </c>
      <c r="I15" s="196" t="s">
        <v>63</v>
      </c>
      <c r="J15" s="253"/>
      <c r="K15" s="196"/>
      <c r="L15" s="9"/>
      <c r="N15" s="374">
        <f t="shared" si="4"/>
        <v>12</v>
      </c>
      <c r="O15" s="375" t="str">
        <f t="shared" si="0"/>
        <v>0012</v>
      </c>
      <c r="Q15" s="8">
        <f t="shared" si="1"/>
        <v>5</v>
      </c>
      <c r="R15" s="8">
        <v>13</v>
      </c>
      <c r="T15" s="8">
        <v>12</v>
      </c>
      <c r="U15" s="8">
        <v>6</v>
      </c>
      <c r="V15" s="8">
        <v>5</v>
      </c>
      <c r="W15" s="8">
        <v>4</v>
      </c>
      <c r="X15" s="8">
        <v>3</v>
      </c>
      <c r="Y15" s="8">
        <v>2</v>
      </c>
      <c r="Z15" s="8">
        <v>9</v>
      </c>
      <c r="AA15" s="8">
        <v>8</v>
      </c>
      <c r="AB15" s="8">
        <v>7</v>
      </c>
      <c r="AC15" s="8" t="s">
        <v>57</v>
      </c>
      <c r="AJ15" s="71" t="str">
        <f t="shared" si="2"/>
        <v>Kosong</v>
      </c>
    </row>
    <row r="16" spans="2:36">
      <c r="B16" s="193">
        <v>13</v>
      </c>
      <c r="C16" s="194">
        <v>2897</v>
      </c>
      <c r="D16" s="195"/>
      <c r="E16" s="205" t="str">
        <f>IF(C16="","",CONCATENATE(PENGATURAN!$K$15,"-",PENGATURAN!$K$16,"-",PENGATURAN!$K$17,"-",PENGATURAN!$K$18,"-",PENGATURAN!$K$19,"-",O16,"-",Q16))</f>
        <v>1-22-03-21-0827-0013-4</v>
      </c>
      <c r="F16" s="410"/>
      <c r="G16" s="194" t="s">
        <v>41</v>
      </c>
      <c r="H16" s="205" t="str">
        <f t="shared" si="3"/>
        <v/>
      </c>
      <c r="I16" s="196" t="s">
        <v>63</v>
      </c>
      <c r="J16" s="253"/>
      <c r="K16" s="196"/>
      <c r="L16" s="9"/>
      <c r="N16" s="374">
        <f t="shared" si="4"/>
        <v>13</v>
      </c>
      <c r="O16" s="375" t="str">
        <f t="shared" si="0"/>
        <v>0013</v>
      </c>
      <c r="Q16" s="8">
        <f t="shared" si="1"/>
        <v>4</v>
      </c>
      <c r="R16" s="8">
        <v>14</v>
      </c>
      <c r="T16" s="8">
        <v>13</v>
      </c>
      <c r="U16" s="8">
        <v>5</v>
      </c>
      <c r="V16" s="8">
        <v>4</v>
      </c>
      <c r="W16" s="8">
        <v>3</v>
      </c>
      <c r="X16" s="8">
        <v>2</v>
      </c>
      <c r="Y16" s="8">
        <v>9</v>
      </c>
      <c r="Z16" s="8">
        <v>8</v>
      </c>
      <c r="AA16" s="8">
        <v>7</v>
      </c>
      <c r="AB16" s="8">
        <v>6</v>
      </c>
      <c r="AC16" s="8" t="s">
        <v>57</v>
      </c>
      <c r="AJ16" s="71" t="str">
        <f t="shared" si="2"/>
        <v>Kosong</v>
      </c>
    </row>
    <row r="17" spans="2:36">
      <c r="B17" s="193">
        <v>14</v>
      </c>
      <c r="C17" s="194">
        <v>2898</v>
      </c>
      <c r="D17" s="195"/>
      <c r="E17" s="205" t="str">
        <f>IF(C17="","",CONCATENATE(PENGATURAN!$K$15,"-",PENGATURAN!$K$16,"-",PENGATURAN!$K$17,"-",PENGATURAN!$K$18,"-",PENGATURAN!$K$19,"-",O17,"-",Q17))</f>
        <v>1-22-03-21-0827-0014-3</v>
      </c>
      <c r="F17" s="410"/>
      <c r="G17" s="194" t="s">
        <v>41</v>
      </c>
      <c r="H17" s="205" t="str">
        <f t="shared" si="3"/>
        <v/>
      </c>
      <c r="I17" s="196" t="s">
        <v>63</v>
      </c>
      <c r="J17" s="253"/>
      <c r="K17" s="196"/>
      <c r="L17" s="9"/>
      <c r="N17" s="374">
        <f t="shared" si="4"/>
        <v>14</v>
      </c>
      <c r="O17" s="375" t="str">
        <f t="shared" si="0"/>
        <v>0014</v>
      </c>
      <c r="Q17" s="8">
        <f t="shared" si="1"/>
        <v>3</v>
      </c>
      <c r="R17" s="8">
        <v>15</v>
      </c>
      <c r="T17" s="8">
        <v>14</v>
      </c>
      <c r="U17" s="8">
        <v>4</v>
      </c>
      <c r="V17" s="8">
        <v>3</v>
      </c>
      <c r="W17" s="8">
        <v>2</v>
      </c>
      <c r="X17" s="8">
        <v>9</v>
      </c>
      <c r="Y17" s="8">
        <v>8</v>
      </c>
      <c r="Z17" s="8">
        <v>7</v>
      </c>
      <c r="AA17" s="8">
        <v>6</v>
      </c>
      <c r="AB17" s="8">
        <v>5</v>
      </c>
      <c r="AC17" s="8" t="s">
        <v>57</v>
      </c>
      <c r="AJ17" s="71" t="str">
        <f t="shared" si="2"/>
        <v>Kosong</v>
      </c>
    </row>
    <row r="18" spans="2:36">
      <c r="B18" s="193">
        <v>15</v>
      </c>
      <c r="C18" s="194">
        <v>2900</v>
      </c>
      <c r="D18" s="195"/>
      <c r="E18" s="205" t="str">
        <f>IF(C18="","",CONCATENATE(PENGATURAN!$K$15,"-",PENGATURAN!$K$16,"-",PENGATURAN!$K$17,"-",PENGATURAN!$K$18,"-",PENGATURAN!$K$19,"-",O18,"-",Q18))</f>
        <v>1-22-03-21-0827-0015-2</v>
      </c>
      <c r="F18" s="410"/>
      <c r="G18" s="194" t="s">
        <v>42</v>
      </c>
      <c r="H18" s="205" t="str">
        <f t="shared" si="3"/>
        <v/>
      </c>
      <c r="I18" s="196" t="s">
        <v>63</v>
      </c>
      <c r="J18" s="253"/>
      <c r="K18" s="196"/>
      <c r="L18" s="9"/>
      <c r="N18" s="374">
        <f t="shared" si="4"/>
        <v>15</v>
      </c>
      <c r="O18" s="375" t="str">
        <f t="shared" si="0"/>
        <v>0015</v>
      </c>
      <c r="Q18" s="8">
        <f t="shared" si="1"/>
        <v>2</v>
      </c>
      <c r="R18" s="8">
        <v>16</v>
      </c>
      <c r="T18" s="8">
        <v>15</v>
      </c>
      <c r="U18" s="8">
        <v>3</v>
      </c>
      <c r="V18" s="8">
        <v>2</v>
      </c>
      <c r="W18" s="8">
        <v>9</v>
      </c>
      <c r="X18" s="8">
        <v>8</v>
      </c>
      <c r="Y18" s="8">
        <v>7</v>
      </c>
      <c r="Z18" s="8">
        <v>6</v>
      </c>
      <c r="AA18" s="8">
        <v>5</v>
      </c>
      <c r="AB18" s="8">
        <v>4</v>
      </c>
      <c r="AC18" s="8" t="s">
        <v>57</v>
      </c>
      <c r="AJ18" s="71" t="str">
        <f t="shared" si="2"/>
        <v>Kosong</v>
      </c>
    </row>
    <row r="19" spans="2:36">
      <c r="B19" s="193">
        <v>16</v>
      </c>
      <c r="C19" s="194">
        <v>2899</v>
      </c>
      <c r="D19" s="195"/>
      <c r="E19" s="205" t="str">
        <f>IF(C19="","",CONCATENATE(PENGATURAN!$K$15,"-",PENGATURAN!$K$16,"-",PENGATURAN!$K$17,"-",PENGATURAN!$K$18,"-",PENGATURAN!$K$19,"-",O19,"-",Q19))</f>
        <v>1-22-03-21-0827-0016-9</v>
      </c>
      <c r="F19" s="410"/>
      <c r="G19" s="194" t="s">
        <v>42</v>
      </c>
      <c r="H19" s="205" t="str">
        <f t="shared" si="3"/>
        <v/>
      </c>
      <c r="I19" s="196" t="s">
        <v>279</v>
      </c>
      <c r="J19" s="253"/>
      <c r="K19" s="196"/>
      <c r="L19" s="9"/>
      <c r="N19" s="374">
        <f t="shared" si="4"/>
        <v>16</v>
      </c>
      <c r="O19" s="375" t="str">
        <f t="shared" si="0"/>
        <v>0016</v>
      </c>
      <c r="Q19" s="8">
        <f t="shared" si="1"/>
        <v>9</v>
      </c>
      <c r="R19" s="8">
        <v>17</v>
      </c>
      <c r="T19" s="8">
        <v>16</v>
      </c>
      <c r="U19" s="8">
        <v>2</v>
      </c>
      <c r="V19" s="8">
        <v>9</v>
      </c>
      <c r="W19" s="8">
        <v>8</v>
      </c>
      <c r="X19" s="8">
        <v>7</v>
      </c>
      <c r="Y19" s="8">
        <v>6</v>
      </c>
      <c r="Z19" s="8">
        <v>5</v>
      </c>
      <c r="AA19" s="8">
        <v>4</v>
      </c>
      <c r="AB19" s="8">
        <v>3</v>
      </c>
      <c r="AC19" s="8" t="s">
        <v>57</v>
      </c>
      <c r="AJ19" s="71" t="str">
        <f t="shared" si="2"/>
        <v>Kosong</v>
      </c>
    </row>
    <row r="20" spans="2:36">
      <c r="B20" s="193">
        <v>17</v>
      </c>
      <c r="C20" s="194">
        <v>2901</v>
      </c>
      <c r="D20" s="195"/>
      <c r="E20" s="205" t="str">
        <f>IF(C20="","",CONCATENATE(PENGATURAN!$K$15,"-",PENGATURAN!$K$16,"-",PENGATURAN!$K$17,"-",PENGATURAN!$K$18,"-",PENGATURAN!$K$19,"-",O20,"-",Q20))</f>
        <v>1-22-03-21-0827-0017-8</v>
      </c>
      <c r="F20" s="410"/>
      <c r="G20" s="194" t="s">
        <v>42</v>
      </c>
      <c r="H20" s="205" t="str">
        <f t="shared" si="3"/>
        <v/>
      </c>
      <c r="I20" s="196" t="s">
        <v>63</v>
      </c>
      <c r="J20" s="253"/>
      <c r="K20" s="196"/>
      <c r="L20" s="9"/>
      <c r="N20" s="374">
        <f t="shared" si="4"/>
        <v>17</v>
      </c>
      <c r="O20" s="375" t="str">
        <f t="shared" si="0"/>
        <v>0017</v>
      </c>
      <c r="Q20" s="8">
        <f t="shared" si="1"/>
        <v>8</v>
      </c>
      <c r="R20" s="8">
        <v>18</v>
      </c>
      <c r="T20" s="8">
        <v>17</v>
      </c>
      <c r="U20" s="8">
        <v>9</v>
      </c>
      <c r="V20" s="8">
        <v>8</v>
      </c>
      <c r="W20" s="8">
        <v>7</v>
      </c>
      <c r="X20" s="8">
        <v>6</v>
      </c>
      <c r="Y20" s="8">
        <v>5</v>
      </c>
      <c r="Z20" s="8">
        <v>4</v>
      </c>
      <c r="AA20" s="8">
        <v>3</v>
      </c>
      <c r="AB20" s="8">
        <v>2</v>
      </c>
      <c r="AC20" s="8" t="s">
        <v>57</v>
      </c>
      <c r="AJ20" s="71" t="str">
        <f t="shared" si="2"/>
        <v>Kosong</v>
      </c>
    </row>
    <row r="21" spans="2:36">
      <c r="B21" s="193">
        <v>18</v>
      </c>
      <c r="C21" s="194">
        <v>2902</v>
      </c>
      <c r="D21" s="195"/>
      <c r="E21" s="205" t="str">
        <f>IF(C21="","",CONCATENATE(PENGATURAN!$K$15,"-",PENGATURAN!$K$16,"-",PENGATURAN!$K$17,"-",PENGATURAN!$K$18,"-",PENGATURAN!$K$19,"-",O21,"-",Q21))</f>
        <v>1-22-03-21-0827-0018-7</v>
      </c>
      <c r="F21" s="410"/>
      <c r="G21" s="194" t="s">
        <v>41</v>
      </c>
      <c r="H21" s="205" t="str">
        <f t="shared" si="3"/>
        <v/>
      </c>
      <c r="I21" s="196" t="s">
        <v>63</v>
      </c>
      <c r="J21" s="253"/>
      <c r="K21" s="196"/>
      <c r="L21" s="9"/>
      <c r="N21" s="374">
        <f t="shared" si="4"/>
        <v>18</v>
      </c>
      <c r="O21" s="375" t="str">
        <f t="shared" si="0"/>
        <v>0018</v>
      </c>
      <c r="Q21" s="8">
        <f t="shared" si="1"/>
        <v>7</v>
      </c>
      <c r="R21" s="8">
        <v>19</v>
      </c>
      <c r="T21" s="8">
        <v>18</v>
      </c>
      <c r="U21" s="8">
        <v>8</v>
      </c>
      <c r="V21" s="8">
        <v>7</v>
      </c>
      <c r="W21" s="8">
        <v>6</v>
      </c>
      <c r="X21" s="8">
        <v>5</v>
      </c>
      <c r="Y21" s="8">
        <v>4</v>
      </c>
      <c r="Z21" s="8">
        <v>3</v>
      </c>
      <c r="AA21" s="8">
        <v>2</v>
      </c>
      <c r="AB21" s="8">
        <v>9</v>
      </c>
      <c r="AC21" s="8" t="s">
        <v>57</v>
      </c>
      <c r="AJ21" s="71" t="str">
        <f t="shared" si="2"/>
        <v>Kosong</v>
      </c>
    </row>
    <row r="22" spans="2:36">
      <c r="B22" s="193">
        <v>19</v>
      </c>
      <c r="C22" s="194">
        <v>2904</v>
      </c>
      <c r="D22" s="195"/>
      <c r="E22" s="205" t="str">
        <f>IF(C22="","",CONCATENATE(PENGATURAN!$K$15,"-",PENGATURAN!$K$16,"-",PENGATURAN!$K$17,"-",PENGATURAN!$K$18,"-",PENGATURAN!$K$19,"-",O22,"-",Q22))</f>
        <v>1-22-03-21-0827-0019-6</v>
      </c>
      <c r="F22" s="410"/>
      <c r="G22" s="194" t="s">
        <v>42</v>
      </c>
      <c r="H22" s="205" t="str">
        <f t="shared" si="3"/>
        <v/>
      </c>
      <c r="I22" s="196" t="s">
        <v>63</v>
      </c>
      <c r="J22" s="253"/>
      <c r="K22" s="196"/>
      <c r="L22" s="9"/>
      <c r="N22" s="374">
        <f t="shared" si="4"/>
        <v>19</v>
      </c>
      <c r="O22" s="375" t="str">
        <f t="shared" si="0"/>
        <v>0019</v>
      </c>
      <c r="Q22" s="8">
        <f t="shared" si="1"/>
        <v>6</v>
      </c>
      <c r="R22" s="8">
        <v>20</v>
      </c>
      <c r="T22" s="8">
        <v>19</v>
      </c>
      <c r="U22" s="8">
        <v>7</v>
      </c>
      <c r="V22" s="8">
        <v>6</v>
      </c>
      <c r="W22" s="8">
        <v>5</v>
      </c>
      <c r="X22" s="8">
        <v>4</v>
      </c>
      <c r="Y22" s="8">
        <v>3</v>
      </c>
      <c r="Z22" s="8">
        <v>2</v>
      </c>
      <c r="AA22" s="8">
        <v>9</v>
      </c>
      <c r="AB22" s="8">
        <v>8</v>
      </c>
      <c r="AC22" s="8" t="s">
        <v>57</v>
      </c>
      <c r="AJ22" s="71" t="str">
        <f t="shared" si="2"/>
        <v>Kosong</v>
      </c>
    </row>
    <row r="23" spans="2:36">
      <c r="B23" s="193">
        <v>20</v>
      </c>
      <c r="C23" s="194">
        <v>1111</v>
      </c>
      <c r="D23" s="195"/>
      <c r="E23" s="205" t="str">
        <f>IF(C23="","",CONCATENATE(PENGATURAN!$K$15,"-",PENGATURAN!$K$16,"-",PENGATURAN!$K$17,"-",PENGATURAN!$K$18,"-",PENGATURAN!$K$19,"-",O23,"-",Q23))</f>
        <v>1-22-03-21-0827-0020-5</v>
      </c>
      <c r="F23" s="410"/>
      <c r="G23" s="194" t="s">
        <v>42</v>
      </c>
      <c r="H23" s="205" t="str">
        <f t="shared" si="3"/>
        <v/>
      </c>
      <c r="I23" s="196" t="s">
        <v>63</v>
      </c>
      <c r="J23" s="253"/>
      <c r="K23" s="196"/>
      <c r="L23" s="9"/>
      <c r="N23" s="374">
        <f t="shared" si="4"/>
        <v>20</v>
      </c>
      <c r="O23" s="375" t="str">
        <f t="shared" si="0"/>
        <v>0020</v>
      </c>
      <c r="Q23" s="8">
        <f t="shared" si="1"/>
        <v>5</v>
      </c>
      <c r="R23" s="8">
        <v>21</v>
      </c>
      <c r="T23" s="8">
        <v>20</v>
      </c>
      <c r="U23" s="8">
        <v>6</v>
      </c>
      <c r="V23" s="8">
        <v>5</v>
      </c>
      <c r="W23" s="8">
        <v>4</v>
      </c>
      <c r="X23" s="8">
        <v>3</v>
      </c>
      <c r="Y23" s="8">
        <v>2</v>
      </c>
      <c r="Z23" s="8">
        <v>9</v>
      </c>
      <c r="AA23" s="8">
        <v>8</v>
      </c>
      <c r="AB23" s="8">
        <v>7</v>
      </c>
      <c r="AC23" s="8" t="s">
        <v>57</v>
      </c>
      <c r="AJ23" s="71" t="str">
        <f t="shared" si="2"/>
        <v>Kosong</v>
      </c>
    </row>
    <row r="24" spans="2:36">
      <c r="B24" s="193">
        <v>21</v>
      </c>
      <c r="C24" s="194">
        <v>2906</v>
      </c>
      <c r="D24" s="195"/>
      <c r="E24" s="205" t="str">
        <f>IF(C24="","",CONCATENATE(PENGATURAN!$K$15,"-",PENGATURAN!$K$16,"-",PENGATURAN!$K$17,"-",PENGATURAN!$K$18,"-",PENGATURAN!$K$19,"-",O24,"-",Q24))</f>
        <v>1-22-03-21-0827-0021-4</v>
      </c>
      <c r="F24" s="410"/>
      <c r="G24" s="194" t="s">
        <v>41</v>
      </c>
      <c r="H24" s="205" t="str">
        <f t="shared" si="3"/>
        <v/>
      </c>
      <c r="I24" s="196" t="s">
        <v>63</v>
      </c>
      <c r="J24" s="253"/>
      <c r="K24" s="196"/>
      <c r="L24" s="9"/>
      <c r="N24" s="374">
        <f t="shared" si="4"/>
        <v>21</v>
      </c>
      <c r="O24" s="375" t="str">
        <f t="shared" si="0"/>
        <v>0021</v>
      </c>
      <c r="Q24" s="8">
        <f t="shared" si="1"/>
        <v>4</v>
      </c>
      <c r="R24" s="8">
        <v>22</v>
      </c>
      <c r="T24" s="8">
        <v>21</v>
      </c>
      <c r="U24" s="8">
        <v>5</v>
      </c>
      <c r="V24" s="8">
        <v>4</v>
      </c>
      <c r="W24" s="8">
        <v>3</v>
      </c>
      <c r="X24" s="8">
        <v>2</v>
      </c>
      <c r="Y24" s="8">
        <v>9</v>
      </c>
      <c r="Z24" s="8">
        <v>8</v>
      </c>
      <c r="AA24" s="8">
        <v>7</v>
      </c>
      <c r="AB24" s="8">
        <v>6</v>
      </c>
      <c r="AC24" s="8" t="s">
        <v>57</v>
      </c>
      <c r="AJ24" s="71" t="str">
        <f t="shared" si="2"/>
        <v>Kosong</v>
      </c>
    </row>
    <row r="25" spans="2:36">
      <c r="B25" s="193">
        <v>22</v>
      </c>
      <c r="C25" s="194"/>
      <c r="D25" s="195"/>
      <c r="E25" s="205" t="str">
        <f>IF(C25="","",CONCATENATE(PENGATURAN!$K$15,"-",PENGATURAN!$K$16,"-",PENGATURAN!$K$17,"-",PENGATURAN!$K$18,"-",PENGATURAN!$K$19,"-",O25,"-",Q25))</f>
        <v/>
      </c>
      <c r="F25" s="410"/>
      <c r="G25" s="194"/>
      <c r="H25" s="205" t="str">
        <f t="shared" si="3"/>
        <v/>
      </c>
      <c r="I25" s="196"/>
      <c r="J25" s="253"/>
      <c r="K25" s="196"/>
      <c r="L25" s="9"/>
      <c r="N25" s="374">
        <f t="shared" si="4"/>
        <v>22</v>
      </c>
      <c r="O25" s="375" t="str">
        <f t="shared" si="0"/>
        <v>0022</v>
      </c>
      <c r="Q25" s="8">
        <f t="shared" si="1"/>
        <v>3</v>
      </c>
      <c r="R25" s="8">
        <v>23</v>
      </c>
      <c r="T25" s="8">
        <v>22</v>
      </c>
      <c r="U25" s="8">
        <v>4</v>
      </c>
      <c r="V25" s="8">
        <v>3</v>
      </c>
      <c r="W25" s="8">
        <v>2</v>
      </c>
      <c r="X25" s="8">
        <v>9</v>
      </c>
      <c r="Y25" s="8">
        <v>8</v>
      </c>
      <c r="Z25" s="8">
        <v>7</v>
      </c>
      <c r="AA25" s="8">
        <v>6</v>
      </c>
      <c r="AB25" s="8">
        <v>5</v>
      </c>
      <c r="AC25" s="8" t="s">
        <v>57</v>
      </c>
      <c r="AJ25" s="71" t="str">
        <f t="shared" si="2"/>
        <v>Kosong</v>
      </c>
    </row>
    <row r="26" spans="2:36">
      <c r="B26" s="193">
        <v>23</v>
      </c>
      <c r="C26" s="194"/>
      <c r="D26" s="195"/>
      <c r="E26" s="205" t="str">
        <f>IF(C26="","",CONCATENATE(PENGATURAN!$K$15,"-",PENGATURAN!$K$16,"-",PENGATURAN!$K$17,"-",PENGATURAN!$K$18,"-",PENGATURAN!$K$19,"-",O26,"-",Q26))</f>
        <v/>
      </c>
      <c r="F26" s="410"/>
      <c r="G26" s="194"/>
      <c r="H26" s="205" t="str">
        <f t="shared" si="3"/>
        <v/>
      </c>
      <c r="I26" s="196"/>
      <c r="J26" s="253"/>
      <c r="K26" s="196"/>
      <c r="L26" s="9"/>
      <c r="N26" s="374">
        <f t="shared" si="4"/>
        <v>23</v>
      </c>
      <c r="O26" s="375" t="str">
        <f t="shared" si="0"/>
        <v>0023</v>
      </c>
      <c r="Q26" s="8">
        <f t="shared" si="1"/>
        <v>2</v>
      </c>
      <c r="R26" s="8">
        <v>24</v>
      </c>
      <c r="T26" s="8">
        <v>23</v>
      </c>
      <c r="U26" s="8">
        <v>3</v>
      </c>
      <c r="V26" s="8">
        <v>2</v>
      </c>
      <c r="W26" s="8">
        <v>9</v>
      </c>
      <c r="X26" s="8">
        <v>8</v>
      </c>
      <c r="Y26" s="8">
        <v>7</v>
      </c>
      <c r="Z26" s="8">
        <v>6</v>
      </c>
      <c r="AA26" s="8">
        <v>5</v>
      </c>
      <c r="AB26" s="8">
        <v>4</v>
      </c>
      <c r="AC26" s="8" t="s">
        <v>57</v>
      </c>
      <c r="AJ26" s="71" t="str">
        <f t="shared" si="2"/>
        <v>Kosong</v>
      </c>
    </row>
    <row r="27" spans="2:36">
      <c r="B27" s="193">
        <v>24</v>
      </c>
      <c r="C27" s="194"/>
      <c r="D27" s="195"/>
      <c r="E27" s="205" t="str">
        <f>IF(C27="","",CONCATENATE(PENGATURAN!$K$15,"-",PENGATURAN!$K$16,"-",PENGATURAN!$K$17,"-",PENGATURAN!$K$18,"-",PENGATURAN!$K$19,"-",O27,"-",Q27))</f>
        <v/>
      </c>
      <c r="F27" s="410"/>
      <c r="G27" s="194"/>
      <c r="H27" s="205" t="str">
        <f t="shared" si="3"/>
        <v/>
      </c>
      <c r="I27" s="196"/>
      <c r="J27" s="253"/>
      <c r="K27" s="196"/>
      <c r="L27" s="9"/>
      <c r="N27" s="374">
        <f t="shared" si="4"/>
        <v>24</v>
      </c>
      <c r="O27" s="375" t="str">
        <f t="shared" si="0"/>
        <v>0024</v>
      </c>
      <c r="Q27" s="8">
        <f t="shared" si="1"/>
        <v>9</v>
      </c>
      <c r="R27" s="8">
        <v>25</v>
      </c>
      <c r="T27" s="8">
        <v>24</v>
      </c>
      <c r="U27" s="8">
        <v>2</v>
      </c>
      <c r="V27" s="8">
        <v>9</v>
      </c>
      <c r="W27" s="8">
        <v>8</v>
      </c>
      <c r="X27" s="8">
        <v>7</v>
      </c>
      <c r="Y27" s="8">
        <v>6</v>
      </c>
      <c r="Z27" s="8">
        <v>5</v>
      </c>
      <c r="AA27" s="8">
        <v>4</v>
      </c>
      <c r="AB27" s="8">
        <v>3</v>
      </c>
      <c r="AC27" s="8" t="s">
        <v>57</v>
      </c>
      <c r="AJ27" s="71" t="str">
        <f t="shared" si="2"/>
        <v>Kosong</v>
      </c>
    </row>
    <row r="28" spans="2:36">
      <c r="B28" s="193">
        <v>25</v>
      </c>
      <c r="C28" s="194"/>
      <c r="D28" s="195"/>
      <c r="E28" s="205" t="str">
        <f>IF(C28="","",CONCATENATE(PENGATURAN!$K$15,"-",PENGATURAN!$K$16,"-",PENGATURAN!$K$17,"-",PENGATURAN!$K$18,"-",PENGATURAN!$K$19,"-",O28,"-",Q28))</f>
        <v/>
      </c>
      <c r="F28" s="410"/>
      <c r="G28" s="194"/>
      <c r="H28" s="205" t="str">
        <f t="shared" si="3"/>
        <v/>
      </c>
      <c r="I28" s="196"/>
      <c r="J28" s="253"/>
      <c r="K28" s="196"/>
      <c r="L28" s="9"/>
      <c r="N28" s="374">
        <f t="shared" si="4"/>
        <v>25</v>
      </c>
      <c r="O28" s="375" t="str">
        <f t="shared" si="0"/>
        <v>0025</v>
      </c>
      <c r="Q28" s="8">
        <f t="shared" si="1"/>
        <v>8</v>
      </c>
      <c r="R28" s="8">
        <v>26</v>
      </c>
      <c r="T28" s="8">
        <v>25</v>
      </c>
      <c r="U28" s="8">
        <v>9</v>
      </c>
      <c r="V28" s="8">
        <v>8</v>
      </c>
      <c r="W28" s="8">
        <v>7</v>
      </c>
      <c r="X28" s="8">
        <v>6</v>
      </c>
      <c r="Y28" s="8">
        <v>5</v>
      </c>
      <c r="Z28" s="8">
        <v>4</v>
      </c>
      <c r="AA28" s="8">
        <v>3</v>
      </c>
      <c r="AB28" s="8">
        <v>2</v>
      </c>
      <c r="AC28" s="8" t="s">
        <v>57</v>
      </c>
      <c r="AJ28" s="71" t="str">
        <f t="shared" si="2"/>
        <v>Kosong</v>
      </c>
    </row>
    <row r="29" spans="2:36">
      <c r="B29" s="193">
        <v>26</v>
      </c>
      <c r="C29" s="194"/>
      <c r="D29" s="195"/>
      <c r="E29" s="205" t="str">
        <f>IF(C29="","",CONCATENATE(PENGATURAN!$K$15,"-",PENGATURAN!$K$16,"-",PENGATURAN!$K$17,"-",PENGATURAN!$K$18,"-",PENGATURAN!$K$19,"-",O29,"-",Q29))</f>
        <v/>
      </c>
      <c r="F29" s="410"/>
      <c r="G29" s="194"/>
      <c r="H29" s="205" t="str">
        <f t="shared" si="3"/>
        <v/>
      </c>
      <c r="I29" s="196"/>
      <c r="J29" s="253"/>
      <c r="K29" s="196"/>
      <c r="L29" s="9"/>
      <c r="N29" s="374">
        <f t="shared" si="4"/>
        <v>26</v>
      </c>
      <c r="O29" s="375" t="str">
        <f t="shared" si="0"/>
        <v>0026</v>
      </c>
      <c r="Q29" s="8">
        <f t="shared" si="1"/>
        <v>7</v>
      </c>
      <c r="R29" s="8">
        <v>27</v>
      </c>
      <c r="T29" s="8">
        <v>26</v>
      </c>
      <c r="U29" s="8">
        <v>8</v>
      </c>
      <c r="V29" s="8">
        <v>7</v>
      </c>
      <c r="W29" s="8">
        <v>6</v>
      </c>
      <c r="X29" s="8">
        <v>5</v>
      </c>
      <c r="Y29" s="8">
        <v>4</v>
      </c>
      <c r="Z29" s="8">
        <v>3</v>
      </c>
      <c r="AA29" s="8">
        <v>2</v>
      </c>
      <c r="AB29" s="8">
        <v>9</v>
      </c>
      <c r="AC29" s="8" t="s">
        <v>57</v>
      </c>
      <c r="AJ29" s="71" t="str">
        <f t="shared" si="2"/>
        <v>Kosong</v>
      </c>
    </row>
    <row r="30" spans="2:36">
      <c r="B30" s="193">
        <v>27</v>
      </c>
      <c r="C30" s="194"/>
      <c r="D30" s="195"/>
      <c r="E30" s="205" t="str">
        <f>IF(C30="","",CONCATENATE(PENGATURAN!$K$15,"-",PENGATURAN!$K$16,"-",PENGATURAN!$K$17,"-",PENGATURAN!$K$18,"-",PENGATURAN!$K$19,"-",O30,"-",Q30))</f>
        <v/>
      </c>
      <c r="F30" s="410"/>
      <c r="G30" s="194"/>
      <c r="H30" s="205" t="str">
        <f t="shared" si="3"/>
        <v/>
      </c>
      <c r="I30" s="196"/>
      <c r="J30" s="253"/>
      <c r="K30" s="196"/>
      <c r="L30" s="9"/>
      <c r="N30" s="374">
        <f t="shared" si="4"/>
        <v>27</v>
      </c>
      <c r="O30" s="375" t="str">
        <f t="shared" si="0"/>
        <v>0027</v>
      </c>
      <c r="Q30" s="8">
        <f t="shared" si="1"/>
        <v>6</v>
      </c>
      <c r="R30" s="8">
        <v>28</v>
      </c>
      <c r="T30" s="8">
        <v>27</v>
      </c>
      <c r="U30" s="8">
        <v>7</v>
      </c>
      <c r="V30" s="8">
        <v>6</v>
      </c>
      <c r="W30" s="8">
        <v>5</v>
      </c>
      <c r="X30" s="8">
        <v>4</v>
      </c>
      <c r="Y30" s="8">
        <v>3</v>
      </c>
      <c r="Z30" s="8">
        <v>2</v>
      </c>
      <c r="AA30" s="8">
        <v>9</v>
      </c>
      <c r="AB30" s="8">
        <v>8</v>
      </c>
      <c r="AC30" s="8" t="s">
        <v>57</v>
      </c>
      <c r="AJ30" s="71" t="str">
        <f t="shared" si="2"/>
        <v>Kosong</v>
      </c>
    </row>
    <row r="31" spans="2:36">
      <c r="B31" s="193">
        <v>28</v>
      </c>
      <c r="C31" s="194"/>
      <c r="D31" s="195"/>
      <c r="E31" s="205" t="str">
        <f>IF(C31="","",CONCATENATE(PENGATURAN!$K$15,"-",PENGATURAN!$K$16,"-",PENGATURAN!$K$17,"-",PENGATURAN!$K$18,"-",PENGATURAN!$K$19,"-",O31,"-",Q31))</f>
        <v/>
      </c>
      <c r="F31" s="410"/>
      <c r="G31" s="194"/>
      <c r="H31" s="205" t="str">
        <f t="shared" si="3"/>
        <v/>
      </c>
      <c r="I31" s="196"/>
      <c r="J31" s="253"/>
      <c r="K31" s="196"/>
      <c r="L31" s="9"/>
      <c r="N31" s="374">
        <f t="shared" si="4"/>
        <v>28</v>
      </c>
      <c r="O31" s="375" t="str">
        <f t="shared" si="0"/>
        <v>0028</v>
      </c>
      <c r="Q31" s="8">
        <f t="shared" si="1"/>
        <v>5</v>
      </c>
      <c r="R31" s="8">
        <v>29</v>
      </c>
      <c r="T31" s="8">
        <v>28</v>
      </c>
      <c r="U31" s="8">
        <v>6</v>
      </c>
      <c r="V31" s="8">
        <v>5</v>
      </c>
      <c r="W31" s="8">
        <v>4</v>
      </c>
      <c r="X31" s="8">
        <v>3</v>
      </c>
      <c r="Y31" s="8">
        <v>2</v>
      </c>
      <c r="Z31" s="8">
        <v>9</v>
      </c>
      <c r="AA31" s="8">
        <v>8</v>
      </c>
      <c r="AB31" s="8">
        <v>7</v>
      </c>
      <c r="AC31" s="8" t="s">
        <v>57</v>
      </c>
      <c r="AJ31" s="71" t="str">
        <f t="shared" si="2"/>
        <v>Kosong</v>
      </c>
    </row>
    <row r="32" spans="2:36">
      <c r="B32" s="193">
        <v>29</v>
      </c>
      <c r="C32" s="194"/>
      <c r="D32" s="195"/>
      <c r="E32" s="205" t="str">
        <f>IF(C32="","",CONCATENATE(PENGATURAN!$K$15,"-",PENGATURAN!$K$16,"-",PENGATURAN!$K$17,"-",PENGATURAN!$K$18,"-",PENGATURAN!$K$19,"-",O32,"-",Q32))</f>
        <v/>
      </c>
      <c r="F32" s="410"/>
      <c r="G32" s="194"/>
      <c r="H32" s="205" t="str">
        <f t="shared" si="3"/>
        <v/>
      </c>
      <c r="I32" s="196"/>
      <c r="J32" s="253"/>
      <c r="K32" s="196"/>
      <c r="L32" s="9"/>
      <c r="N32" s="374">
        <f t="shared" si="4"/>
        <v>29</v>
      </c>
      <c r="O32" s="375" t="str">
        <f t="shared" si="0"/>
        <v>0029</v>
      </c>
      <c r="Q32" s="8">
        <f t="shared" si="1"/>
        <v>4</v>
      </c>
      <c r="R32" s="8">
        <v>30</v>
      </c>
      <c r="T32" s="8">
        <v>29</v>
      </c>
      <c r="U32" s="8">
        <v>5</v>
      </c>
      <c r="V32" s="8">
        <v>4</v>
      </c>
      <c r="W32" s="8">
        <v>3</v>
      </c>
      <c r="X32" s="8">
        <v>2</v>
      </c>
      <c r="Y32" s="8">
        <v>9</v>
      </c>
      <c r="Z32" s="8">
        <v>8</v>
      </c>
      <c r="AA32" s="8">
        <v>7</v>
      </c>
      <c r="AB32" s="8">
        <v>6</v>
      </c>
      <c r="AC32" s="8" t="s">
        <v>57</v>
      </c>
      <c r="AJ32" s="71" t="str">
        <f t="shared" si="2"/>
        <v>Kosong</v>
      </c>
    </row>
    <row r="33" spans="2:36">
      <c r="B33" s="193">
        <v>30</v>
      </c>
      <c r="C33" s="194"/>
      <c r="D33" s="195"/>
      <c r="E33" s="205" t="str">
        <f>IF(C33="","",CONCATENATE(PENGATURAN!$K$15,"-",PENGATURAN!$K$16,"-",PENGATURAN!$K$17,"-",PENGATURAN!$K$18,"-",PENGATURAN!$K$19,"-",O33,"-",Q33))</f>
        <v/>
      </c>
      <c r="F33" s="410"/>
      <c r="G33" s="194"/>
      <c r="H33" s="205" t="str">
        <f t="shared" si="3"/>
        <v/>
      </c>
      <c r="I33" s="196"/>
      <c r="J33" s="253"/>
      <c r="K33" s="196"/>
      <c r="L33" s="9"/>
      <c r="N33" s="374">
        <f t="shared" si="4"/>
        <v>30</v>
      </c>
      <c r="O33" s="375" t="str">
        <f t="shared" si="0"/>
        <v>0030</v>
      </c>
      <c r="Q33" s="8">
        <f t="shared" si="1"/>
        <v>3</v>
      </c>
      <c r="R33" s="8">
        <v>31</v>
      </c>
      <c r="T33" s="8">
        <v>30</v>
      </c>
      <c r="U33" s="8">
        <v>4</v>
      </c>
      <c r="V33" s="8">
        <v>3</v>
      </c>
      <c r="W33" s="8">
        <v>2</v>
      </c>
      <c r="X33" s="8">
        <v>9</v>
      </c>
      <c r="Y33" s="8">
        <v>8</v>
      </c>
      <c r="Z33" s="8">
        <v>7</v>
      </c>
      <c r="AA33" s="8">
        <v>6</v>
      </c>
      <c r="AB33" s="8">
        <v>5</v>
      </c>
      <c r="AC33" s="8" t="s">
        <v>57</v>
      </c>
      <c r="AJ33" s="71" t="str">
        <f t="shared" si="2"/>
        <v>Kosong</v>
      </c>
    </row>
    <row r="34" spans="2:36">
      <c r="B34" s="193"/>
      <c r="C34" s="194"/>
      <c r="D34" s="195"/>
      <c r="E34" s="205" t="str">
        <f>IF(C34="","",CONCATENATE(PENGATURAN!$K$15,"-",PENGATURAN!$K$16,"-",PENGATURAN!$K$17,"-",PENGATURAN!$K$18,"-",PENGATURAN!$K$19,"-",O34,"-",Q34))</f>
        <v/>
      </c>
      <c r="F34" s="410"/>
      <c r="G34" s="194"/>
      <c r="H34" s="205" t="str">
        <f t="shared" si="3"/>
        <v/>
      </c>
      <c r="I34" s="196"/>
      <c r="J34" s="253"/>
      <c r="K34" s="196"/>
      <c r="L34" s="9"/>
      <c r="N34" s="374">
        <f t="shared" si="4"/>
        <v>31</v>
      </c>
      <c r="O34" s="375" t="str">
        <f t="shared" si="0"/>
        <v>0031</v>
      </c>
      <c r="Q34" s="8">
        <f t="shared" si="1"/>
        <v>2</v>
      </c>
      <c r="R34" s="8">
        <v>32</v>
      </c>
      <c r="T34" s="8">
        <v>31</v>
      </c>
      <c r="U34" s="8">
        <v>3</v>
      </c>
      <c r="V34" s="8">
        <v>2</v>
      </c>
      <c r="W34" s="8">
        <v>9</v>
      </c>
      <c r="X34" s="8">
        <v>8</v>
      </c>
      <c r="Y34" s="8">
        <v>7</v>
      </c>
      <c r="Z34" s="8">
        <v>6</v>
      </c>
      <c r="AA34" s="8">
        <v>5</v>
      </c>
      <c r="AB34" s="8">
        <v>4</v>
      </c>
      <c r="AC34" s="8" t="s">
        <v>57</v>
      </c>
      <c r="AJ34" s="71" t="str">
        <f t="shared" si="2"/>
        <v>Kosong</v>
      </c>
    </row>
    <row r="35" spans="2:36">
      <c r="B35" s="193"/>
      <c r="C35" s="194"/>
      <c r="D35" s="195"/>
      <c r="E35" s="205" t="str">
        <f>IF(C35="","",CONCATENATE(PENGATURAN!$K$15,"-",PENGATURAN!$K$16,"-",PENGATURAN!$K$17,"-",PENGATURAN!$K$18,"-",PENGATURAN!$K$19,"-",O35,"-",Q35))</f>
        <v/>
      </c>
      <c r="F35" s="410"/>
      <c r="G35" s="194"/>
      <c r="H35" s="205" t="str">
        <f t="shared" si="3"/>
        <v/>
      </c>
      <c r="I35" s="196"/>
      <c r="J35" s="253"/>
      <c r="K35" s="196"/>
      <c r="L35" s="9"/>
      <c r="N35" s="374">
        <f t="shared" si="4"/>
        <v>32</v>
      </c>
      <c r="O35" s="375" t="str">
        <f t="shared" si="0"/>
        <v>0032</v>
      </c>
      <c r="Q35" s="8">
        <f t="shared" si="1"/>
        <v>9</v>
      </c>
      <c r="R35" s="8">
        <v>33</v>
      </c>
      <c r="T35" s="8">
        <v>32</v>
      </c>
      <c r="U35" s="8">
        <v>2</v>
      </c>
      <c r="V35" s="8">
        <v>9</v>
      </c>
      <c r="W35" s="8">
        <v>8</v>
      </c>
      <c r="X35" s="8">
        <v>7</v>
      </c>
      <c r="Y35" s="8">
        <v>6</v>
      </c>
      <c r="Z35" s="8">
        <v>5</v>
      </c>
      <c r="AA35" s="8">
        <v>4</v>
      </c>
      <c r="AB35" s="8">
        <v>3</v>
      </c>
      <c r="AC35" s="8" t="s">
        <v>57</v>
      </c>
      <c r="AJ35" s="71" t="str">
        <f t="shared" si="2"/>
        <v>Kosong</v>
      </c>
    </row>
    <row r="36" spans="2:36">
      <c r="B36" s="193"/>
      <c r="C36" s="194"/>
      <c r="D36" s="195"/>
      <c r="E36" s="205" t="str">
        <f>IF(C36="","",CONCATENATE(PENGATURAN!$K$15,"-",PENGATURAN!$K$16,"-",PENGATURAN!$K$17,"-",PENGATURAN!$K$18,"-",PENGATURAN!$K$19,"-",O36,"-",Q36))</f>
        <v/>
      </c>
      <c r="F36" s="410"/>
      <c r="G36" s="194"/>
      <c r="H36" s="205" t="str">
        <f t="shared" si="3"/>
        <v/>
      </c>
      <c r="I36" s="196"/>
      <c r="J36" s="253"/>
      <c r="K36" s="196"/>
      <c r="L36" s="9"/>
      <c r="N36" s="374">
        <f t="shared" si="4"/>
        <v>33</v>
      </c>
      <c r="O36" s="375" t="str">
        <f t="shared" ref="O36:O53" si="5">TEXT(N36,"0000")</f>
        <v>0033</v>
      </c>
      <c r="Q36" s="8">
        <f t="shared" ref="Q36:Q53" si="6">HLOOKUP($Q$3,NOMOR_AKHIR,R36)</f>
        <v>8</v>
      </c>
      <c r="R36" s="8">
        <v>34</v>
      </c>
      <c r="T36" s="8">
        <v>33</v>
      </c>
      <c r="U36" s="8">
        <v>9</v>
      </c>
      <c r="V36" s="8">
        <v>8</v>
      </c>
      <c r="W36" s="8">
        <v>7</v>
      </c>
      <c r="X36" s="8">
        <v>6</v>
      </c>
      <c r="Y36" s="8">
        <v>5</v>
      </c>
      <c r="Z36" s="8">
        <v>4</v>
      </c>
      <c r="AA36" s="8">
        <v>3</v>
      </c>
      <c r="AB36" s="8">
        <v>2</v>
      </c>
      <c r="AC36" s="8" t="s">
        <v>57</v>
      </c>
      <c r="AJ36" s="71" t="str">
        <f t="shared" ref="AJ36:AJ53" si="7">IF(F36="","Kosong","Data")</f>
        <v>Kosong</v>
      </c>
    </row>
    <row r="37" spans="2:36">
      <c r="B37" s="193"/>
      <c r="C37" s="194"/>
      <c r="D37" s="195"/>
      <c r="E37" s="205" t="str">
        <f>IF(C37="","",CONCATENATE(PENGATURAN!$K$15,"-",PENGATURAN!$K$16,"-",PENGATURAN!$K$17,"-",PENGATURAN!$K$18,"-",PENGATURAN!$K$19,"-",O37,"-",Q37))</f>
        <v/>
      </c>
      <c r="F37" s="410"/>
      <c r="G37" s="194"/>
      <c r="H37" s="205" t="str">
        <f t="shared" si="3"/>
        <v/>
      </c>
      <c r="I37" s="196"/>
      <c r="J37" s="253"/>
      <c r="K37" s="196"/>
      <c r="L37" s="9"/>
      <c r="N37" s="374">
        <f t="shared" si="4"/>
        <v>34</v>
      </c>
      <c r="O37" s="375" t="str">
        <f t="shared" si="5"/>
        <v>0034</v>
      </c>
      <c r="Q37" s="8">
        <f t="shared" si="6"/>
        <v>7</v>
      </c>
      <c r="R37" s="8">
        <v>35</v>
      </c>
      <c r="T37" s="8">
        <v>34</v>
      </c>
      <c r="U37" s="8">
        <v>8</v>
      </c>
      <c r="V37" s="8">
        <v>7</v>
      </c>
      <c r="W37" s="8">
        <v>6</v>
      </c>
      <c r="X37" s="8">
        <v>5</v>
      </c>
      <c r="Y37" s="8">
        <v>4</v>
      </c>
      <c r="Z37" s="8">
        <v>3</v>
      </c>
      <c r="AA37" s="8">
        <v>2</v>
      </c>
      <c r="AB37" s="8">
        <v>9</v>
      </c>
      <c r="AC37" s="8" t="s">
        <v>57</v>
      </c>
      <c r="AJ37" s="71" t="str">
        <f t="shared" si="7"/>
        <v>Kosong</v>
      </c>
    </row>
    <row r="38" spans="2:36">
      <c r="B38" s="193"/>
      <c r="C38" s="194"/>
      <c r="D38" s="195"/>
      <c r="E38" s="205" t="str">
        <f>IF(C38="","",CONCATENATE(PENGATURAN!$K$15,"-",PENGATURAN!$K$16,"-",PENGATURAN!$K$17,"-",PENGATURAN!$K$18,"-",PENGATURAN!$K$19,"-",O38,"-",Q38))</f>
        <v/>
      </c>
      <c r="F38" s="410"/>
      <c r="G38" s="194"/>
      <c r="H38" s="205" t="str">
        <f t="shared" si="3"/>
        <v/>
      </c>
      <c r="I38" s="196"/>
      <c r="J38" s="253"/>
      <c r="K38" s="196"/>
      <c r="L38" s="9"/>
      <c r="N38" s="374">
        <f t="shared" si="4"/>
        <v>35</v>
      </c>
      <c r="O38" s="375" t="str">
        <f t="shared" si="5"/>
        <v>0035</v>
      </c>
      <c r="Q38" s="8">
        <f t="shared" si="6"/>
        <v>6</v>
      </c>
      <c r="R38" s="8">
        <v>36</v>
      </c>
      <c r="T38" s="8">
        <v>35</v>
      </c>
      <c r="U38" s="8">
        <v>7</v>
      </c>
      <c r="V38" s="8">
        <v>6</v>
      </c>
      <c r="W38" s="8">
        <v>5</v>
      </c>
      <c r="X38" s="8">
        <v>4</v>
      </c>
      <c r="Y38" s="8">
        <v>3</v>
      </c>
      <c r="Z38" s="8">
        <v>2</v>
      </c>
      <c r="AA38" s="8">
        <v>9</v>
      </c>
      <c r="AB38" s="8">
        <v>8</v>
      </c>
      <c r="AC38" s="8" t="s">
        <v>57</v>
      </c>
      <c r="AJ38" s="71" t="str">
        <f t="shared" si="7"/>
        <v>Kosong</v>
      </c>
    </row>
    <row r="39" spans="2:36">
      <c r="B39" s="193"/>
      <c r="C39" s="194"/>
      <c r="D39" s="195"/>
      <c r="E39" s="205" t="str">
        <f>IF(C39="","",CONCATENATE(PENGATURAN!$K$15,"-",PENGATURAN!$K$16,"-",PENGATURAN!$K$17,"-",PENGATURAN!$K$18,"-",PENGATURAN!$K$19,"-",O39,"-",Q39))</f>
        <v/>
      </c>
      <c r="F39" s="410"/>
      <c r="G39" s="194"/>
      <c r="H39" s="205" t="str">
        <f t="shared" si="3"/>
        <v/>
      </c>
      <c r="I39" s="196"/>
      <c r="J39" s="253"/>
      <c r="K39" s="196"/>
      <c r="L39" s="9"/>
      <c r="N39" s="374">
        <f t="shared" si="4"/>
        <v>36</v>
      </c>
      <c r="O39" s="375" t="str">
        <f t="shared" si="5"/>
        <v>0036</v>
      </c>
      <c r="Q39" s="8">
        <f t="shared" si="6"/>
        <v>5</v>
      </c>
      <c r="R39" s="8">
        <v>37</v>
      </c>
      <c r="T39" s="8">
        <v>36</v>
      </c>
      <c r="U39" s="8">
        <v>6</v>
      </c>
      <c r="V39" s="8">
        <v>5</v>
      </c>
      <c r="W39" s="8">
        <v>4</v>
      </c>
      <c r="X39" s="8">
        <v>3</v>
      </c>
      <c r="Y39" s="8">
        <v>2</v>
      </c>
      <c r="Z39" s="8">
        <v>9</v>
      </c>
      <c r="AA39" s="8">
        <v>8</v>
      </c>
      <c r="AB39" s="8">
        <v>7</v>
      </c>
      <c r="AC39" s="8" t="s">
        <v>57</v>
      </c>
      <c r="AJ39" s="71" t="str">
        <f t="shared" si="7"/>
        <v>Kosong</v>
      </c>
    </row>
    <row r="40" spans="2:36">
      <c r="B40" s="193"/>
      <c r="C40" s="194"/>
      <c r="D40" s="195"/>
      <c r="E40" s="205" t="str">
        <f>IF(C40="","",CONCATENATE(PENGATURAN!$K$15,"-",PENGATURAN!$K$16,"-",PENGATURAN!$K$17,"-",PENGATURAN!$K$18,"-",PENGATURAN!$K$19,"-",O40,"-",Q40))</f>
        <v/>
      </c>
      <c r="F40" s="410"/>
      <c r="G40" s="194"/>
      <c r="H40" s="205" t="str">
        <f t="shared" si="3"/>
        <v/>
      </c>
      <c r="I40" s="196"/>
      <c r="J40" s="253"/>
      <c r="K40" s="196"/>
      <c r="L40" s="9"/>
      <c r="N40" s="374">
        <f t="shared" si="4"/>
        <v>37</v>
      </c>
      <c r="O40" s="375" t="str">
        <f t="shared" si="5"/>
        <v>0037</v>
      </c>
      <c r="Q40" s="8">
        <f t="shared" si="6"/>
        <v>4</v>
      </c>
      <c r="R40" s="8">
        <v>38</v>
      </c>
      <c r="T40" s="8">
        <v>37</v>
      </c>
      <c r="U40" s="8">
        <v>5</v>
      </c>
      <c r="V40" s="8">
        <v>4</v>
      </c>
      <c r="W40" s="8">
        <v>3</v>
      </c>
      <c r="X40" s="8">
        <v>2</v>
      </c>
      <c r="Y40" s="8">
        <v>9</v>
      </c>
      <c r="Z40" s="8">
        <v>8</v>
      </c>
      <c r="AA40" s="8">
        <v>7</v>
      </c>
      <c r="AB40" s="8">
        <v>6</v>
      </c>
      <c r="AC40" s="8" t="s">
        <v>57</v>
      </c>
      <c r="AJ40" s="71" t="str">
        <f t="shared" si="7"/>
        <v>Kosong</v>
      </c>
    </row>
    <row r="41" spans="2:36">
      <c r="B41" s="193"/>
      <c r="C41" s="194"/>
      <c r="D41" s="195"/>
      <c r="E41" s="205" t="str">
        <f>IF(C41="","",CONCATENATE(PENGATURAN!$K$15,"-",PENGATURAN!$K$16,"-",PENGATURAN!$K$17,"-",PENGATURAN!$K$18,"-",PENGATURAN!$K$19,"-",O41,"-",Q41))</f>
        <v/>
      </c>
      <c r="F41" s="410"/>
      <c r="G41" s="194"/>
      <c r="H41" s="205" t="str">
        <f t="shared" si="3"/>
        <v/>
      </c>
      <c r="I41" s="196"/>
      <c r="J41" s="253"/>
      <c r="K41" s="196"/>
      <c r="L41" s="9"/>
      <c r="N41" s="374">
        <f t="shared" si="4"/>
        <v>38</v>
      </c>
      <c r="O41" s="375" t="str">
        <f t="shared" si="5"/>
        <v>0038</v>
      </c>
      <c r="Q41" s="8">
        <f t="shared" si="6"/>
        <v>3</v>
      </c>
      <c r="R41" s="8">
        <v>39</v>
      </c>
      <c r="T41" s="8">
        <v>38</v>
      </c>
      <c r="U41" s="8">
        <v>4</v>
      </c>
      <c r="V41" s="8">
        <v>3</v>
      </c>
      <c r="W41" s="8">
        <v>2</v>
      </c>
      <c r="X41" s="8">
        <v>9</v>
      </c>
      <c r="Y41" s="8">
        <v>8</v>
      </c>
      <c r="Z41" s="8">
        <v>7</v>
      </c>
      <c r="AA41" s="8">
        <v>6</v>
      </c>
      <c r="AB41" s="8">
        <v>5</v>
      </c>
      <c r="AC41" s="8" t="s">
        <v>57</v>
      </c>
      <c r="AJ41" s="71" t="str">
        <f t="shared" si="7"/>
        <v>Kosong</v>
      </c>
    </row>
    <row r="42" spans="2:36">
      <c r="B42" s="193"/>
      <c r="C42" s="194"/>
      <c r="D42" s="195"/>
      <c r="E42" s="205" t="str">
        <f>IF(C42="","",CONCATENATE(PENGATURAN!$K$15,"-",PENGATURAN!$K$16,"-",PENGATURAN!$K$17,"-",PENGATURAN!$K$18,"-",PENGATURAN!$K$19,"-",O42,"-",Q42))</f>
        <v/>
      </c>
      <c r="F42" s="410"/>
      <c r="G42" s="194"/>
      <c r="H42" s="205" t="str">
        <f t="shared" si="3"/>
        <v/>
      </c>
      <c r="I42" s="196"/>
      <c r="J42" s="253"/>
      <c r="K42" s="196"/>
      <c r="L42" s="9"/>
      <c r="N42" s="374">
        <f t="shared" si="4"/>
        <v>39</v>
      </c>
      <c r="O42" s="375" t="str">
        <f t="shared" si="5"/>
        <v>0039</v>
      </c>
      <c r="Q42" s="8">
        <f t="shared" si="6"/>
        <v>2</v>
      </c>
      <c r="R42" s="8">
        <v>40</v>
      </c>
      <c r="T42" s="8">
        <v>39</v>
      </c>
      <c r="U42" s="8">
        <v>3</v>
      </c>
      <c r="V42" s="8">
        <v>2</v>
      </c>
      <c r="W42" s="8">
        <v>9</v>
      </c>
      <c r="X42" s="8">
        <v>8</v>
      </c>
      <c r="Y42" s="8">
        <v>7</v>
      </c>
      <c r="Z42" s="8">
        <v>6</v>
      </c>
      <c r="AA42" s="8">
        <v>5</v>
      </c>
      <c r="AB42" s="8">
        <v>4</v>
      </c>
      <c r="AC42" s="8" t="s">
        <v>57</v>
      </c>
      <c r="AJ42" s="71" t="str">
        <f t="shared" si="7"/>
        <v>Kosong</v>
      </c>
    </row>
    <row r="43" spans="2:36">
      <c r="B43" s="193"/>
      <c r="C43" s="194"/>
      <c r="D43" s="195"/>
      <c r="E43" s="205" t="str">
        <f>IF(C43="","",CONCATENATE(PENGATURAN!$K$15,"-",PENGATURAN!$K$16,"-",PENGATURAN!$K$17,"-",PENGATURAN!$K$18,"-",PENGATURAN!$K$19,"-",O43,"-",Q43))</f>
        <v/>
      </c>
      <c r="F43" s="410"/>
      <c r="G43" s="194"/>
      <c r="H43" s="205" t="str">
        <f t="shared" si="3"/>
        <v/>
      </c>
      <c r="I43" s="196"/>
      <c r="J43" s="253"/>
      <c r="K43" s="196"/>
      <c r="L43" s="9"/>
      <c r="N43" s="374">
        <f t="shared" si="4"/>
        <v>40</v>
      </c>
      <c r="O43" s="375" t="str">
        <f t="shared" si="5"/>
        <v>0040</v>
      </c>
      <c r="Q43" s="8">
        <f t="shared" si="6"/>
        <v>9</v>
      </c>
      <c r="R43" s="8">
        <v>41</v>
      </c>
      <c r="T43" s="8">
        <v>40</v>
      </c>
      <c r="U43" s="8">
        <v>2</v>
      </c>
      <c r="V43" s="8">
        <v>9</v>
      </c>
      <c r="W43" s="8">
        <v>8</v>
      </c>
      <c r="X43" s="8">
        <v>7</v>
      </c>
      <c r="Y43" s="8">
        <v>6</v>
      </c>
      <c r="Z43" s="8">
        <v>5</v>
      </c>
      <c r="AA43" s="8">
        <v>4</v>
      </c>
      <c r="AB43" s="8">
        <v>3</v>
      </c>
      <c r="AC43" s="8" t="s">
        <v>57</v>
      </c>
      <c r="AJ43" s="71" t="str">
        <f t="shared" si="7"/>
        <v>Kosong</v>
      </c>
    </row>
    <row r="44" spans="2:36">
      <c r="B44" s="193"/>
      <c r="C44" s="194"/>
      <c r="D44" s="195"/>
      <c r="E44" s="205" t="str">
        <f>IF(C44="","",CONCATENATE(PENGATURAN!$K$15,"-",PENGATURAN!$K$16,"-",PENGATURAN!$K$17,"-",PENGATURAN!$K$18,"-",PENGATURAN!$K$19,"-",O44,"-",Q44))</f>
        <v/>
      </c>
      <c r="F44" s="410"/>
      <c r="G44" s="194"/>
      <c r="H44" s="205" t="str">
        <f t="shared" si="3"/>
        <v/>
      </c>
      <c r="I44" s="196"/>
      <c r="J44" s="253"/>
      <c r="K44" s="196"/>
      <c r="L44" s="9"/>
      <c r="N44" s="374">
        <f t="shared" si="4"/>
        <v>41</v>
      </c>
      <c r="O44" s="375" t="str">
        <f t="shared" si="5"/>
        <v>0041</v>
      </c>
      <c r="Q44" s="8">
        <f t="shared" si="6"/>
        <v>8</v>
      </c>
      <c r="R44" s="8">
        <v>42</v>
      </c>
      <c r="T44" s="8">
        <v>41</v>
      </c>
      <c r="U44" s="8">
        <v>9</v>
      </c>
      <c r="V44" s="8">
        <v>8</v>
      </c>
      <c r="W44" s="8">
        <v>7</v>
      </c>
      <c r="X44" s="8">
        <v>6</v>
      </c>
      <c r="Y44" s="8">
        <v>5</v>
      </c>
      <c r="Z44" s="8">
        <v>4</v>
      </c>
      <c r="AA44" s="8">
        <v>3</v>
      </c>
      <c r="AB44" s="8">
        <v>2</v>
      </c>
      <c r="AC44" s="8" t="s">
        <v>57</v>
      </c>
      <c r="AJ44" s="71" t="str">
        <f t="shared" si="7"/>
        <v>Kosong</v>
      </c>
    </row>
    <row r="45" spans="2:36">
      <c r="B45" s="193"/>
      <c r="C45" s="194"/>
      <c r="D45" s="195"/>
      <c r="E45" s="205" t="str">
        <f>IF(C45="","",CONCATENATE(PENGATURAN!$K$15,"-",PENGATURAN!$K$16,"-",PENGATURAN!$K$17,"-",PENGATURAN!$K$18,"-",PENGATURAN!$K$19,"-",O45,"-",Q45))</f>
        <v/>
      </c>
      <c r="F45" s="410"/>
      <c r="G45" s="194"/>
      <c r="H45" s="205" t="str">
        <f t="shared" si="3"/>
        <v/>
      </c>
      <c r="I45" s="196"/>
      <c r="J45" s="253"/>
      <c r="K45" s="196"/>
      <c r="L45" s="9"/>
      <c r="N45" s="374">
        <f t="shared" si="4"/>
        <v>42</v>
      </c>
      <c r="O45" s="375" t="str">
        <f t="shared" si="5"/>
        <v>0042</v>
      </c>
      <c r="Q45" s="8">
        <f t="shared" si="6"/>
        <v>7</v>
      </c>
      <c r="R45" s="8">
        <v>43</v>
      </c>
      <c r="T45" s="8">
        <v>42</v>
      </c>
      <c r="U45" s="8">
        <v>8</v>
      </c>
      <c r="V45" s="8">
        <v>7</v>
      </c>
      <c r="W45" s="8">
        <v>6</v>
      </c>
      <c r="X45" s="8">
        <v>5</v>
      </c>
      <c r="Y45" s="8">
        <v>4</v>
      </c>
      <c r="Z45" s="8">
        <v>3</v>
      </c>
      <c r="AA45" s="8">
        <v>2</v>
      </c>
      <c r="AB45" s="8">
        <v>9</v>
      </c>
      <c r="AC45" s="8" t="s">
        <v>57</v>
      </c>
      <c r="AJ45" s="71" t="str">
        <f t="shared" si="7"/>
        <v>Kosong</v>
      </c>
    </row>
    <row r="46" spans="2:36">
      <c r="B46" s="193"/>
      <c r="C46" s="194"/>
      <c r="D46" s="195"/>
      <c r="E46" s="205" t="str">
        <f>IF(C46="","",CONCATENATE(PENGATURAN!$K$15,"-",PENGATURAN!$K$16,"-",PENGATURAN!$K$17,"-",PENGATURAN!$K$18,"-",PENGATURAN!$K$19,"-",O46,"-",Q46))</f>
        <v/>
      </c>
      <c r="F46" s="410"/>
      <c r="G46" s="194"/>
      <c r="H46" s="205" t="str">
        <f t="shared" si="3"/>
        <v/>
      </c>
      <c r="I46" s="196"/>
      <c r="J46" s="253"/>
      <c r="K46" s="196"/>
      <c r="L46" s="9"/>
      <c r="N46" s="374">
        <f t="shared" si="4"/>
        <v>43</v>
      </c>
      <c r="O46" s="375" t="str">
        <f t="shared" si="5"/>
        <v>0043</v>
      </c>
      <c r="Q46" s="8">
        <f t="shared" si="6"/>
        <v>6</v>
      </c>
      <c r="R46" s="8">
        <v>44</v>
      </c>
      <c r="T46" s="8">
        <v>43</v>
      </c>
      <c r="U46" s="8">
        <v>7</v>
      </c>
      <c r="V46" s="8">
        <v>6</v>
      </c>
      <c r="W46" s="8">
        <v>5</v>
      </c>
      <c r="X46" s="8">
        <v>4</v>
      </c>
      <c r="Y46" s="8">
        <v>3</v>
      </c>
      <c r="Z46" s="8">
        <v>2</v>
      </c>
      <c r="AA46" s="8">
        <v>9</v>
      </c>
      <c r="AB46" s="8">
        <v>8</v>
      </c>
      <c r="AC46" s="8" t="s">
        <v>57</v>
      </c>
      <c r="AJ46" s="71" t="str">
        <f t="shared" si="7"/>
        <v>Kosong</v>
      </c>
    </row>
    <row r="47" spans="2:36">
      <c r="B47" s="193"/>
      <c r="C47" s="194"/>
      <c r="D47" s="195"/>
      <c r="E47" s="205" t="str">
        <f>IF(C47="","",CONCATENATE(PENGATURAN!$K$15,"-",PENGATURAN!$K$16,"-",PENGATURAN!$K$17,"-",PENGATURAN!$K$18,"-",PENGATURAN!$K$19,"-",O47,"-",Q47))</f>
        <v/>
      </c>
      <c r="F47" s="410"/>
      <c r="G47" s="194"/>
      <c r="H47" s="205" t="str">
        <f t="shared" si="3"/>
        <v/>
      </c>
      <c r="I47" s="196"/>
      <c r="J47" s="253"/>
      <c r="K47" s="196"/>
      <c r="L47" s="9"/>
      <c r="N47" s="374">
        <f t="shared" si="4"/>
        <v>44</v>
      </c>
      <c r="O47" s="375" t="str">
        <f t="shared" si="5"/>
        <v>0044</v>
      </c>
      <c r="Q47" s="8">
        <f t="shared" si="6"/>
        <v>5</v>
      </c>
      <c r="R47" s="8">
        <v>45</v>
      </c>
      <c r="T47" s="8">
        <v>44</v>
      </c>
      <c r="U47" s="8">
        <v>6</v>
      </c>
      <c r="V47" s="8">
        <v>5</v>
      </c>
      <c r="W47" s="8">
        <v>4</v>
      </c>
      <c r="X47" s="8">
        <v>3</v>
      </c>
      <c r="Y47" s="8">
        <v>2</v>
      </c>
      <c r="Z47" s="8">
        <v>9</v>
      </c>
      <c r="AA47" s="8">
        <v>8</v>
      </c>
      <c r="AB47" s="8">
        <v>7</v>
      </c>
      <c r="AC47" s="8" t="s">
        <v>57</v>
      </c>
      <c r="AJ47" s="71" t="str">
        <f t="shared" si="7"/>
        <v>Kosong</v>
      </c>
    </row>
    <row r="48" spans="2:36">
      <c r="B48" s="193"/>
      <c r="C48" s="194"/>
      <c r="D48" s="195"/>
      <c r="E48" s="205" t="str">
        <f>IF(C48="","",CONCATENATE(PENGATURAN!$K$15,"-",PENGATURAN!$K$16,"-",PENGATURAN!$K$17,"-",PENGATURAN!$K$18,"-",PENGATURAN!$K$19,"-",O48,"-",Q48))</f>
        <v/>
      </c>
      <c r="F48" s="410"/>
      <c r="G48" s="194"/>
      <c r="H48" s="205" t="str">
        <f t="shared" si="3"/>
        <v/>
      </c>
      <c r="I48" s="196"/>
      <c r="J48" s="253"/>
      <c r="K48" s="196"/>
      <c r="L48" s="9"/>
      <c r="N48" s="374">
        <f t="shared" si="4"/>
        <v>45</v>
      </c>
      <c r="O48" s="375" t="str">
        <f t="shared" si="5"/>
        <v>0045</v>
      </c>
      <c r="Q48" s="8">
        <f t="shared" si="6"/>
        <v>4</v>
      </c>
      <c r="R48" s="8">
        <v>46</v>
      </c>
      <c r="T48" s="8">
        <v>45</v>
      </c>
      <c r="U48" s="8">
        <v>5</v>
      </c>
      <c r="V48" s="8">
        <v>4</v>
      </c>
      <c r="W48" s="8">
        <v>3</v>
      </c>
      <c r="X48" s="8">
        <v>2</v>
      </c>
      <c r="Y48" s="8">
        <v>9</v>
      </c>
      <c r="Z48" s="8">
        <v>8</v>
      </c>
      <c r="AA48" s="8">
        <v>7</v>
      </c>
      <c r="AB48" s="8">
        <v>6</v>
      </c>
      <c r="AC48" s="8" t="s">
        <v>57</v>
      </c>
      <c r="AJ48" s="71" t="str">
        <f t="shared" si="7"/>
        <v>Kosong</v>
      </c>
    </row>
    <row r="49" spans="2:36">
      <c r="B49" s="193"/>
      <c r="C49" s="194"/>
      <c r="D49" s="195"/>
      <c r="E49" s="205" t="str">
        <f>IF(C49="","",CONCATENATE(PENGATURAN!$K$15,"-",PENGATURAN!$K$16,"-",PENGATURAN!$K$17,"-",PENGATURAN!$K$18,"-",PENGATURAN!$K$19,"-",O49,"-",Q49))</f>
        <v/>
      </c>
      <c r="F49" s="410"/>
      <c r="G49" s="194"/>
      <c r="H49" s="205" t="str">
        <f t="shared" si="3"/>
        <v/>
      </c>
      <c r="I49" s="196"/>
      <c r="J49" s="253"/>
      <c r="K49" s="196"/>
      <c r="L49" s="9"/>
      <c r="N49" s="374">
        <f t="shared" si="4"/>
        <v>46</v>
      </c>
      <c r="O49" s="375" t="str">
        <f t="shared" si="5"/>
        <v>0046</v>
      </c>
      <c r="Q49" s="8">
        <f t="shared" si="6"/>
        <v>3</v>
      </c>
      <c r="R49" s="8">
        <v>47</v>
      </c>
      <c r="T49" s="8">
        <v>46</v>
      </c>
      <c r="U49" s="8">
        <v>4</v>
      </c>
      <c r="V49" s="8">
        <v>3</v>
      </c>
      <c r="W49" s="8">
        <v>2</v>
      </c>
      <c r="X49" s="8">
        <v>9</v>
      </c>
      <c r="Y49" s="8">
        <v>8</v>
      </c>
      <c r="Z49" s="8">
        <v>7</v>
      </c>
      <c r="AA49" s="8">
        <v>6</v>
      </c>
      <c r="AB49" s="8">
        <v>5</v>
      </c>
      <c r="AC49" s="8" t="s">
        <v>57</v>
      </c>
      <c r="AJ49" s="71" t="str">
        <f t="shared" si="7"/>
        <v>Kosong</v>
      </c>
    </row>
    <row r="50" spans="2:36">
      <c r="B50" s="193"/>
      <c r="C50" s="194"/>
      <c r="D50" s="195"/>
      <c r="E50" s="205" t="str">
        <f>IF(C50="","",CONCATENATE(PENGATURAN!$K$15,"-",PENGATURAN!$K$16,"-",PENGATURAN!$K$17,"-",PENGATURAN!$K$18,"-",PENGATURAN!$K$19,"-",O50,"-",Q50))</f>
        <v/>
      </c>
      <c r="F50" s="410"/>
      <c r="G50" s="194"/>
      <c r="H50" s="205" t="str">
        <f t="shared" si="3"/>
        <v/>
      </c>
      <c r="I50" s="196"/>
      <c r="J50" s="253"/>
      <c r="K50" s="196"/>
      <c r="L50" s="9"/>
      <c r="N50" s="374">
        <f t="shared" si="4"/>
        <v>47</v>
      </c>
      <c r="O50" s="375" t="str">
        <f t="shared" si="5"/>
        <v>0047</v>
      </c>
      <c r="Q50" s="8">
        <f t="shared" si="6"/>
        <v>2</v>
      </c>
      <c r="R50" s="8">
        <v>48</v>
      </c>
      <c r="T50" s="8">
        <v>47</v>
      </c>
      <c r="U50" s="8">
        <v>3</v>
      </c>
      <c r="V50" s="8">
        <v>2</v>
      </c>
      <c r="W50" s="8">
        <v>9</v>
      </c>
      <c r="X50" s="8">
        <v>8</v>
      </c>
      <c r="Y50" s="8">
        <v>7</v>
      </c>
      <c r="Z50" s="8">
        <v>6</v>
      </c>
      <c r="AA50" s="8">
        <v>5</v>
      </c>
      <c r="AB50" s="8">
        <v>4</v>
      </c>
      <c r="AC50" s="8" t="s">
        <v>57</v>
      </c>
      <c r="AJ50" s="71" t="str">
        <f t="shared" si="7"/>
        <v>Kosong</v>
      </c>
    </row>
    <row r="51" spans="2:36">
      <c r="B51" s="193"/>
      <c r="C51" s="194"/>
      <c r="D51" s="195"/>
      <c r="E51" s="205" t="str">
        <f>IF(C51="","",CONCATENATE(PENGATURAN!$K$15,"-",PENGATURAN!$K$16,"-",PENGATURAN!$K$17,"-",PENGATURAN!$K$18,"-",PENGATURAN!$K$19,"-",O51,"-",Q51))</f>
        <v/>
      </c>
      <c r="F51" s="410"/>
      <c r="G51" s="194"/>
      <c r="H51" s="205" t="str">
        <f t="shared" si="3"/>
        <v/>
      </c>
      <c r="I51" s="196"/>
      <c r="J51" s="253"/>
      <c r="K51" s="196"/>
      <c r="L51" s="9"/>
      <c r="N51" s="374">
        <f t="shared" si="4"/>
        <v>48</v>
      </c>
      <c r="O51" s="375" t="str">
        <f t="shared" si="5"/>
        <v>0048</v>
      </c>
      <c r="Q51" s="8">
        <f t="shared" si="6"/>
        <v>9</v>
      </c>
      <c r="R51" s="8">
        <v>49</v>
      </c>
      <c r="T51" s="8">
        <v>48</v>
      </c>
      <c r="U51" s="8">
        <v>2</v>
      </c>
      <c r="V51" s="8">
        <v>9</v>
      </c>
      <c r="W51" s="8">
        <v>8</v>
      </c>
      <c r="X51" s="8">
        <v>7</v>
      </c>
      <c r="Y51" s="8">
        <v>6</v>
      </c>
      <c r="Z51" s="8">
        <v>5</v>
      </c>
      <c r="AA51" s="8">
        <v>4</v>
      </c>
      <c r="AB51" s="8">
        <v>3</v>
      </c>
      <c r="AC51" s="8" t="s">
        <v>57</v>
      </c>
      <c r="AJ51" s="71" t="str">
        <f t="shared" si="7"/>
        <v>Kosong</v>
      </c>
    </row>
    <row r="52" spans="2:36">
      <c r="B52" s="193"/>
      <c r="C52" s="194"/>
      <c r="D52" s="195"/>
      <c r="E52" s="205" t="str">
        <f>IF(C52="","",CONCATENATE(PENGATURAN!$K$15,"-",PENGATURAN!$K$16,"-",PENGATURAN!$K$17,"-",PENGATURAN!$K$18,"-",PENGATURAN!$K$19,"-",O52,"-",Q52))</f>
        <v/>
      </c>
      <c r="F52" s="410"/>
      <c r="G52" s="194"/>
      <c r="H52" s="205" t="str">
        <f t="shared" si="3"/>
        <v/>
      </c>
      <c r="I52" s="196"/>
      <c r="J52" s="253"/>
      <c r="K52" s="196"/>
      <c r="L52" s="9"/>
      <c r="N52" s="374">
        <f t="shared" si="4"/>
        <v>49</v>
      </c>
      <c r="O52" s="375" t="str">
        <f t="shared" si="5"/>
        <v>0049</v>
      </c>
      <c r="Q52" s="8">
        <f t="shared" si="6"/>
        <v>8</v>
      </c>
      <c r="R52" s="8">
        <v>50</v>
      </c>
      <c r="T52" s="8">
        <v>49</v>
      </c>
      <c r="U52" s="8">
        <v>9</v>
      </c>
      <c r="V52" s="8">
        <v>8</v>
      </c>
      <c r="W52" s="8">
        <v>7</v>
      </c>
      <c r="X52" s="8">
        <v>6</v>
      </c>
      <c r="Y52" s="8">
        <v>5</v>
      </c>
      <c r="Z52" s="8">
        <v>4</v>
      </c>
      <c r="AA52" s="8">
        <v>3</v>
      </c>
      <c r="AB52" s="8">
        <v>2</v>
      </c>
      <c r="AC52" s="8" t="s">
        <v>57</v>
      </c>
      <c r="AJ52" s="71" t="str">
        <f t="shared" si="7"/>
        <v>Kosong</v>
      </c>
    </row>
    <row r="53" spans="2:36">
      <c r="B53" s="193"/>
      <c r="C53" s="194"/>
      <c r="D53" s="195"/>
      <c r="E53" s="205" t="str">
        <f>IF(C53="","",CONCATENATE(PENGATURAN!$K$15,"-",PENGATURAN!$K$16,"-",PENGATURAN!$K$17,"-",PENGATURAN!$K$18,"-",PENGATURAN!$K$19,"-",O53,"-",Q53))</f>
        <v/>
      </c>
      <c r="F53" s="410"/>
      <c r="G53" s="194"/>
      <c r="H53" s="205" t="str">
        <f t="shared" si="3"/>
        <v/>
      </c>
      <c r="I53" s="196"/>
      <c r="J53" s="253"/>
      <c r="K53" s="196"/>
      <c r="L53" s="9"/>
      <c r="N53" s="374">
        <f t="shared" si="4"/>
        <v>50</v>
      </c>
      <c r="O53" s="375" t="str">
        <f t="shared" si="5"/>
        <v>0050</v>
      </c>
      <c r="Q53" s="8">
        <f t="shared" si="6"/>
        <v>7</v>
      </c>
      <c r="R53" s="8">
        <v>51</v>
      </c>
      <c r="T53" s="8">
        <v>50</v>
      </c>
      <c r="U53" s="8">
        <v>8</v>
      </c>
      <c r="V53" s="8">
        <v>7</v>
      </c>
      <c r="W53" s="8">
        <v>6</v>
      </c>
      <c r="X53" s="8">
        <v>5</v>
      </c>
      <c r="Y53" s="8">
        <v>4</v>
      </c>
      <c r="Z53" s="8">
        <v>3</v>
      </c>
      <c r="AA53" s="8">
        <v>2</v>
      </c>
      <c r="AB53" s="8">
        <v>9</v>
      </c>
      <c r="AC53" s="8" t="s">
        <v>57</v>
      </c>
      <c r="AJ53" s="71" t="str">
        <f t="shared" si="7"/>
        <v>Kosong</v>
      </c>
    </row>
    <row r="54" spans="2:36">
      <c r="B54" s="373" t="s">
        <v>230</v>
      </c>
      <c r="C54" s="373">
        <f>IF(ISEVEN(C55),C55,C55+1)</f>
        <v>22</v>
      </c>
    </row>
    <row r="55" spans="2:36">
      <c r="C55" s="372">
        <f>50-COUNTBLANK(C4:C53)</f>
        <v>21</v>
      </c>
    </row>
    <row r="56" spans="2:36">
      <c r="C56" s="371"/>
      <c r="H56" s="1" t="str">
        <f>Kabupaten&amp;", "&amp;TEXT(Tanggal,"DD MMMM YYYY")</f>
        <v>Wonogiri, 15 Juni 2022</v>
      </c>
    </row>
    <row r="57" spans="2:36">
      <c r="H57" s="1" t="str">
        <f>UPPER("Kepala"&amp;" "&amp;Nama_Sekolah)</f>
        <v>KEPALA SEKOLAH DASAR NEGERI 1 GIRIHARJO</v>
      </c>
    </row>
    <row r="58" spans="2:36">
      <c r="H58" s="1" t="str">
        <f>UPPER(Kab_Kota&amp;" "&amp;Kabupaten&amp;",")</f>
        <v>KABUPATEN WONOGIRI,</v>
      </c>
    </row>
    <row r="59" spans="2:36">
      <c r="H59" s="1"/>
    </row>
    <row r="60" spans="2:36">
      <c r="H60" s="1"/>
    </row>
    <row r="61" spans="2:36">
      <c r="H61" s="37">
        <f>Kepsek</f>
        <v>0</v>
      </c>
    </row>
    <row r="62" spans="2:36">
      <c r="H62" s="9" t="str">
        <f>IF(Pangkat_gol="","",Pangkat_gol)</f>
        <v/>
      </c>
    </row>
    <row r="63" spans="2:36">
      <c r="H63" s="36">
        <f>NIP_Kepsek</f>
        <v>0</v>
      </c>
    </row>
    <row r="65" spans="2:2">
      <c r="B65" s="191" t="s">
        <v>134</v>
      </c>
    </row>
  </sheetData>
  <sheetProtection password="CC5B" sheet="1" objects="1" scenarios="1" formatColumns="0" autoFilter="0"/>
  <autoFilter ref="AJ3:AJ53"/>
  <mergeCells count="1">
    <mergeCell ref="G3:H3"/>
  </mergeCells>
  <dataValidations count="2">
    <dataValidation type="decimal" allowBlank="1" showInputMessage="1" showErrorMessage="1" sqref="U52:U53 S23:S37 AB45:AB46 U23:AC37 V51:V52 W50:W51 X49:X50 Y48:Y49 Z47:Z48 AA46:AA47 P23:P37">
      <formula1>-1</formula1>
      <formula2>-1</formula2>
    </dataValidation>
    <dataValidation allowBlank="1" showInputMessage="1" showErrorMessage="1" prompt="L/P" sqref="G4:G53"/>
  </dataValidations>
  <pageMargins left="0.31496062992125984" right="0.11811023622047245" top="0.55118110236220474" bottom="0.35433070866141736" header="0.31496062992125984" footer="0.31496062992125984"/>
  <pageSetup paperSize="9" scale="84" orientation="landscape" r:id="rId1"/>
  <colBreaks count="1" manualBreakCount="1">
    <brk id="35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30"/>
  <sheetViews>
    <sheetView showGridLines="0" zoomScaleSheetLayoutView="96" workbookViewId="0">
      <selection activeCell="J6" sqref="J6"/>
    </sheetView>
  </sheetViews>
  <sheetFormatPr defaultColWidth="0" defaultRowHeight="14" zeroHeight="1"/>
  <cols>
    <col min="1" max="1" width="4.1796875" style="305" customWidth="1"/>
    <col min="2" max="2" width="3" style="304" customWidth="1"/>
    <col min="3" max="8" width="5.7265625" style="304" customWidth="1"/>
    <col min="9" max="9" width="5.7265625" style="303" customWidth="1"/>
    <col min="10" max="11" width="5.7265625" style="304" customWidth="1"/>
    <col min="12" max="12" width="8" style="304" customWidth="1"/>
    <col min="13" max="15" width="5.7265625" style="304" customWidth="1"/>
    <col min="16" max="16" width="9.81640625" style="304" customWidth="1"/>
    <col min="17" max="17" width="2.1796875" style="304" customWidth="1"/>
    <col min="18" max="18" width="11.453125" style="305" customWidth="1"/>
    <col min="19" max="16384" width="9.1796875" style="305" hidden="1"/>
  </cols>
  <sheetData>
    <row r="1" spans="1:18">
      <c r="A1" s="349"/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49"/>
    </row>
    <row r="2" spans="1:18" ht="15.5">
      <c r="A2" s="349"/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49"/>
    </row>
    <row r="3" spans="1:18" ht="15.5">
      <c r="A3" s="349"/>
      <c r="B3" s="307"/>
      <c r="C3" s="310"/>
      <c r="D3" s="310"/>
      <c r="E3" s="307"/>
      <c r="F3" s="307"/>
      <c r="G3" s="310"/>
      <c r="H3" s="310"/>
      <c r="I3" s="309"/>
      <c r="J3" s="352" t="str">
        <f>UPPER("PEMERINTAH "&amp;Kab_Kota&amp;" "&amp;Kabupaten)</f>
        <v>PEMERINTAH KABUPATEN WONOGIRI</v>
      </c>
      <c r="K3" s="310"/>
      <c r="L3" s="310"/>
      <c r="M3" s="310"/>
      <c r="N3" s="310"/>
      <c r="O3" s="310"/>
      <c r="P3" s="310"/>
      <c r="Q3" s="310"/>
      <c r="R3" s="349"/>
    </row>
    <row r="4" spans="1:18" ht="15.5">
      <c r="A4" s="349"/>
      <c r="B4" s="307"/>
      <c r="C4" s="307"/>
      <c r="D4" s="307"/>
      <c r="E4" s="307"/>
      <c r="F4" s="307"/>
      <c r="G4" s="310"/>
      <c r="H4" s="310"/>
      <c r="I4" s="309"/>
      <c r="J4" s="352" t="str">
        <f>UPPER(Nama_Dinas)</f>
        <v>DINAS PENDIDIKAN DAN KEBUDAYAAN</v>
      </c>
      <c r="K4" s="310"/>
      <c r="L4" s="310"/>
      <c r="M4" s="310"/>
      <c r="N4" s="310"/>
      <c r="O4" s="310"/>
      <c r="P4" s="310"/>
      <c r="Q4" s="310"/>
      <c r="R4" s="349"/>
    </row>
    <row r="5" spans="1:18" ht="20">
      <c r="A5" s="349"/>
      <c r="B5" s="307"/>
      <c r="C5" s="307"/>
      <c r="D5" s="307"/>
      <c r="E5" s="307"/>
      <c r="F5" s="307"/>
      <c r="G5" s="353"/>
      <c r="H5" s="353"/>
      <c r="I5" s="309"/>
      <c r="J5" s="354" t="str">
        <f>UPPER(Nama_Sekolah_KOP)</f>
        <v>SD NEGERI 1 GIRIHARJO PUHPELEM</v>
      </c>
      <c r="K5" s="310"/>
      <c r="L5" s="310"/>
      <c r="M5" s="310"/>
      <c r="N5" s="310"/>
      <c r="O5" s="310"/>
      <c r="P5" s="310"/>
      <c r="Q5" s="310"/>
      <c r="R5" s="349"/>
    </row>
    <row r="6" spans="1:18" ht="8.15" customHeight="1">
      <c r="A6" s="349"/>
      <c r="B6" s="307"/>
      <c r="C6" s="307"/>
      <c r="D6" s="307"/>
      <c r="E6" s="307"/>
      <c r="F6" s="307"/>
      <c r="G6" s="353"/>
      <c r="H6" s="353"/>
      <c r="I6" s="309"/>
      <c r="J6" s="354"/>
      <c r="K6" s="310"/>
      <c r="L6" s="310"/>
      <c r="M6" s="310"/>
      <c r="N6" s="310"/>
      <c r="O6" s="310"/>
      <c r="P6" s="310"/>
      <c r="Q6" s="310"/>
      <c r="R6" s="349"/>
    </row>
    <row r="7" spans="1:18" ht="15.5">
      <c r="A7" s="349"/>
      <c r="B7" s="307"/>
      <c r="C7" s="307"/>
      <c r="D7" s="307"/>
      <c r="E7" s="307"/>
      <c r="F7" s="307"/>
      <c r="G7" s="355"/>
      <c r="H7" s="355"/>
      <c r="I7" s="309"/>
      <c r="J7" s="356" t="str">
        <f>Alamat_Lengkap&amp;", "&amp;Kelurahan&amp;", "&amp;Kecamatan&amp;", "&amp;Kabupaten&amp;" Kode Pos "&amp;kode_pos</f>
        <v>Jalan Giriharjo-Sarangan, Giriharjo, Puhpelem, Wonogiri Kode Pos 57698</v>
      </c>
      <c r="K7" s="310"/>
      <c r="L7" s="310"/>
      <c r="M7" s="310"/>
      <c r="N7" s="310"/>
      <c r="O7" s="310"/>
      <c r="P7" s="310"/>
      <c r="Q7" s="310"/>
      <c r="R7" s="349"/>
    </row>
    <row r="8" spans="1:18" ht="15.5">
      <c r="A8" s="349"/>
      <c r="B8" s="307"/>
      <c r="C8" s="307"/>
      <c r="D8" s="307"/>
      <c r="E8" s="356"/>
      <c r="F8" s="307"/>
      <c r="G8" s="355"/>
      <c r="H8" s="355"/>
      <c r="I8" s="309"/>
      <c r="J8" s="356" t="str">
        <f>"Telepon No. "&amp;Telepon&amp;", "&amp;"Email: "&amp;Email</f>
        <v>Telepon No. -, Email: sdn1giriharjo@gmail.com</v>
      </c>
      <c r="K8" s="310"/>
      <c r="L8" s="310"/>
      <c r="M8" s="310"/>
      <c r="N8" s="310"/>
      <c r="O8" s="310"/>
      <c r="P8" s="310"/>
      <c r="Q8" s="310"/>
      <c r="R8" s="349"/>
    </row>
    <row r="9" spans="1:18" ht="15.5">
      <c r="A9" s="349"/>
      <c r="B9" s="310"/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49"/>
    </row>
    <row r="10" spans="1:18" ht="15.5">
      <c r="A10" s="349"/>
      <c r="B10" s="325"/>
      <c r="C10" s="315"/>
      <c r="D10" s="315"/>
      <c r="E10" s="315"/>
      <c r="F10" s="315"/>
      <c r="G10" s="315"/>
      <c r="H10" s="315"/>
      <c r="I10" s="308"/>
      <c r="J10" s="310"/>
      <c r="K10" s="325"/>
      <c r="L10" s="325"/>
      <c r="M10" s="325"/>
      <c r="N10" s="325"/>
      <c r="O10" s="325"/>
      <c r="P10" s="325"/>
      <c r="R10" s="349"/>
    </row>
    <row r="11" spans="1:18" ht="15.5">
      <c r="A11" s="349"/>
      <c r="B11" s="325"/>
      <c r="C11" s="626" t="s">
        <v>180</v>
      </c>
      <c r="D11" s="626"/>
      <c r="E11" s="626"/>
      <c r="F11" s="626"/>
      <c r="G11" s="626"/>
      <c r="H11" s="626"/>
      <c r="I11" s="626"/>
      <c r="J11" s="626"/>
      <c r="K11" s="626"/>
      <c r="L11" s="626"/>
      <c r="M11" s="626"/>
      <c r="N11" s="626"/>
      <c r="O11" s="626"/>
      <c r="P11" s="626"/>
      <c r="Q11" s="357"/>
      <c r="R11" s="349"/>
    </row>
    <row r="12" spans="1:18" ht="15.5">
      <c r="A12" s="349"/>
      <c r="B12" s="325"/>
      <c r="C12" s="626" t="str">
        <f>CONCATENATE("TAHUN PELAJARAN ",Tahun_Pelajaran)</f>
        <v>TAHUN PELAJARAN 2021/2022</v>
      </c>
      <c r="D12" s="626"/>
      <c r="E12" s="626"/>
      <c r="F12" s="626"/>
      <c r="G12" s="626"/>
      <c r="H12" s="626"/>
      <c r="I12" s="626"/>
      <c r="J12" s="626"/>
      <c r="K12" s="626"/>
      <c r="L12" s="626"/>
      <c r="M12" s="626"/>
      <c r="N12" s="626"/>
      <c r="O12" s="626"/>
      <c r="P12" s="626"/>
      <c r="Q12" s="357"/>
      <c r="R12" s="349"/>
    </row>
    <row r="13" spans="1:18" ht="15.5">
      <c r="A13" s="349"/>
      <c r="B13" s="325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7"/>
      <c r="R13" s="349"/>
    </row>
    <row r="14" spans="1:18" ht="15.5">
      <c r="A14" s="349"/>
      <c r="B14" s="325"/>
      <c r="C14" s="359"/>
      <c r="D14" s="359"/>
      <c r="E14" s="359"/>
      <c r="F14" s="359"/>
      <c r="G14" s="359"/>
      <c r="H14" s="359"/>
      <c r="I14" s="359"/>
      <c r="J14" s="359"/>
      <c r="K14" s="359"/>
      <c r="L14" s="359"/>
      <c r="M14" s="359"/>
      <c r="N14" s="359"/>
      <c r="O14" s="359"/>
      <c r="P14" s="359"/>
      <c r="Q14" s="305"/>
      <c r="R14" s="349"/>
    </row>
    <row r="15" spans="1:18" ht="15.5">
      <c r="A15" s="349"/>
      <c r="B15" s="325"/>
      <c r="C15" s="627" t="s">
        <v>156</v>
      </c>
      <c r="D15" s="627"/>
      <c r="E15" s="627"/>
      <c r="F15" s="627" t="s">
        <v>157</v>
      </c>
      <c r="G15" s="627"/>
      <c r="H15" s="627"/>
      <c r="I15" s="627" t="s">
        <v>158</v>
      </c>
      <c r="J15" s="627"/>
      <c r="K15" s="627"/>
      <c r="L15" s="627"/>
      <c r="M15" s="627" t="s">
        <v>159</v>
      </c>
      <c r="N15" s="627"/>
      <c r="O15" s="627"/>
      <c r="P15" s="627"/>
      <c r="Q15" s="360"/>
      <c r="R15" s="349"/>
    </row>
    <row r="16" spans="1:18" ht="16" thickBot="1">
      <c r="A16" s="349"/>
      <c r="B16" s="78"/>
      <c r="C16" s="361" t="s">
        <v>41</v>
      </c>
      <c r="D16" s="361" t="s">
        <v>42</v>
      </c>
      <c r="E16" s="361" t="s">
        <v>160</v>
      </c>
      <c r="F16" s="361" t="s">
        <v>41</v>
      </c>
      <c r="G16" s="361" t="s">
        <v>42</v>
      </c>
      <c r="H16" s="361" t="s">
        <v>160</v>
      </c>
      <c r="I16" s="361" t="s">
        <v>41</v>
      </c>
      <c r="J16" s="361" t="s">
        <v>42</v>
      </c>
      <c r="K16" s="361" t="s">
        <v>160</v>
      </c>
      <c r="L16" s="361" t="s">
        <v>161</v>
      </c>
      <c r="M16" s="361" t="s">
        <v>41</v>
      </c>
      <c r="N16" s="361" t="s">
        <v>42</v>
      </c>
      <c r="O16" s="361" t="s">
        <v>160</v>
      </c>
      <c r="P16" s="361" t="s">
        <v>161</v>
      </c>
      <c r="Q16" s="360"/>
      <c r="R16" s="349"/>
    </row>
    <row r="17" spans="1:18" ht="33" customHeight="1" thickTop="1">
      <c r="A17" s="349"/>
      <c r="B17" s="78"/>
      <c r="C17" s="362">
        <f>COUNTIF('Data Siswa'!G3:$G$53,"L")</f>
        <v>8</v>
      </c>
      <c r="D17" s="362">
        <f>COUNTIF('Data Siswa'!$G3:H$53,"P")</f>
        <v>13</v>
      </c>
      <c r="E17" s="362">
        <f>SUM(C17:D17)</f>
        <v>21</v>
      </c>
      <c r="F17" s="362">
        <f>COUNTIF('Data Siswa'!$G3:J$53,"L")</f>
        <v>8</v>
      </c>
      <c r="G17" s="362">
        <f>COUNTIF('Data Siswa'!$G3:K$53,"P")</f>
        <v>13</v>
      </c>
      <c r="H17" s="362">
        <f>SUM(F17:G17)</f>
        <v>21</v>
      </c>
      <c r="I17" s="362" t="str">
        <f>IF('NA IJAZAH'!AF59=0,"-",'NA IJAZAH'!AF59)</f>
        <v>-</v>
      </c>
      <c r="J17" s="362" t="str">
        <f>IF('NA IJAZAH'!AF60=0,"-",'NA IJAZAH'!AF60)</f>
        <v>-</v>
      </c>
      <c r="K17" s="362" t="str">
        <f>IF(SUM(I17:J17)=0,"-",SUM(I17:J17))</f>
        <v>-</v>
      </c>
      <c r="L17" s="363" t="str">
        <f>IFERROR(K17/H17,"0%")</f>
        <v>0%</v>
      </c>
      <c r="M17" s="362">
        <f>IF('NA IJAZAH'!AE59="","",'NA IJAZAH'!AE59)</f>
        <v>0</v>
      </c>
      <c r="N17" s="362">
        <f>IF('NA IJAZAH'!AE60="","",'NA IJAZAH'!AE60)</f>
        <v>0</v>
      </c>
      <c r="O17" s="362">
        <f>IF(SUM(M17:N17)=0,0,SUM(M17:N17))</f>
        <v>0</v>
      </c>
      <c r="P17" s="363">
        <f>O17/H17</f>
        <v>0</v>
      </c>
      <c r="Q17" s="364"/>
      <c r="R17" s="349"/>
    </row>
    <row r="18" spans="1:18" ht="15.5">
      <c r="A18" s="349"/>
      <c r="B18" s="78"/>
      <c r="C18" s="78"/>
      <c r="D18" s="87"/>
      <c r="E18" s="89"/>
      <c r="F18" s="83"/>
      <c r="G18" s="83"/>
      <c r="H18" s="83"/>
      <c r="J18" s="78"/>
      <c r="K18" s="78"/>
      <c r="L18" s="78"/>
      <c r="N18" s="78"/>
      <c r="O18" s="78"/>
      <c r="P18" s="78"/>
      <c r="Q18" s="78"/>
      <c r="R18" s="349"/>
    </row>
    <row r="19" spans="1:18" ht="15.5">
      <c r="A19" s="349"/>
      <c r="B19" s="78"/>
      <c r="C19" s="78"/>
      <c r="D19" s="87"/>
      <c r="E19" s="89"/>
      <c r="F19" s="83"/>
      <c r="G19" s="83"/>
      <c r="H19" s="83"/>
      <c r="I19" s="151"/>
      <c r="J19" s="78"/>
      <c r="K19" s="78"/>
      <c r="L19" s="78"/>
      <c r="M19" s="78"/>
      <c r="N19" s="78"/>
      <c r="O19" s="78"/>
      <c r="P19" s="78"/>
      <c r="Q19" s="78"/>
      <c r="R19" s="349"/>
    </row>
    <row r="20" spans="1:18" ht="24" customHeight="1">
      <c r="A20" s="349"/>
      <c r="B20" s="78"/>
      <c r="C20" s="78"/>
      <c r="D20" s="87"/>
      <c r="E20" s="78"/>
      <c r="F20" s="78"/>
      <c r="G20" s="88"/>
      <c r="H20" s="88"/>
      <c r="I20" s="151"/>
      <c r="J20" s="78"/>
      <c r="K20" s="377" t="str">
        <f>Kabupaten&amp;", "&amp;TEXT(Tgl_rapor,"DD MMMM YYYY")</f>
        <v>Wonogiri, 15 Juni 2022</v>
      </c>
      <c r="L20" s="78"/>
      <c r="M20" s="78"/>
      <c r="N20" s="78"/>
      <c r="O20" s="78"/>
      <c r="P20" s="78"/>
      <c r="Q20" s="78"/>
      <c r="R20" s="349"/>
    </row>
    <row r="21" spans="1:18" ht="15.5">
      <c r="A21" s="349"/>
      <c r="B21" s="78"/>
      <c r="C21" s="78"/>
      <c r="D21" s="87"/>
      <c r="E21" s="78"/>
      <c r="F21" s="78"/>
      <c r="G21" s="365"/>
      <c r="H21" s="365"/>
      <c r="I21" s="151"/>
      <c r="J21" s="78"/>
      <c r="K21" s="330" t="str">
        <f>UPPER("Kepala "&amp;Nama_Sekolah)</f>
        <v>KEPALA SEKOLAH DASAR NEGERI 1 GIRIHARJO</v>
      </c>
      <c r="L21" s="78"/>
      <c r="M21" s="78"/>
      <c r="N21" s="78"/>
      <c r="O21" s="78"/>
      <c r="P21" s="78"/>
      <c r="Q21" s="78"/>
      <c r="R21" s="349"/>
    </row>
    <row r="22" spans="1:18" ht="15.5">
      <c r="A22" s="349"/>
      <c r="B22" s="325"/>
      <c r="C22" s="325"/>
      <c r="D22" s="325"/>
      <c r="E22" s="325"/>
      <c r="F22" s="325"/>
      <c r="G22" s="325"/>
      <c r="H22" s="325"/>
      <c r="I22" s="308"/>
      <c r="J22" s="325"/>
      <c r="K22" s="330" t="str">
        <f>UPPER(Kab_Kota&amp;" "&amp;Kabupaten&amp;",")</f>
        <v>KABUPATEN WONOGIRI,</v>
      </c>
      <c r="L22" s="325"/>
      <c r="M22" s="325"/>
      <c r="N22" s="325"/>
      <c r="O22" s="325"/>
      <c r="P22" s="325"/>
      <c r="R22" s="349"/>
    </row>
    <row r="23" spans="1:18" ht="15.5">
      <c r="A23" s="349"/>
      <c r="B23" s="325"/>
      <c r="C23" s="325"/>
      <c r="D23" s="325"/>
      <c r="E23" s="325"/>
      <c r="F23" s="325"/>
      <c r="G23" s="325"/>
      <c r="H23" s="325"/>
      <c r="I23" s="308"/>
      <c r="J23" s="325"/>
      <c r="K23" s="330"/>
      <c r="L23" s="325"/>
      <c r="M23" s="325"/>
      <c r="N23" s="325"/>
      <c r="O23" s="325"/>
      <c r="P23" s="325"/>
      <c r="R23" s="349"/>
    </row>
    <row r="24" spans="1:18" ht="15.5">
      <c r="A24" s="349"/>
      <c r="B24" s="308"/>
      <c r="C24" s="308"/>
      <c r="D24" s="308"/>
      <c r="E24" s="325"/>
      <c r="F24" s="325"/>
      <c r="G24" s="347"/>
      <c r="H24" s="308"/>
      <c r="I24" s="308"/>
      <c r="J24" s="325"/>
      <c r="K24" s="330"/>
      <c r="L24" s="325"/>
      <c r="M24" s="325"/>
      <c r="N24" s="325"/>
      <c r="O24" s="325"/>
      <c r="P24" s="325"/>
      <c r="R24" s="349"/>
    </row>
    <row r="25" spans="1:18" ht="15.5">
      <c r="A25" s="349"/>
      <c r="B25" s="308"/>
      <c r="C25" s="308"/>
      <c r="D25" s="308"/>
      <c r="E25" s="325"/>
      <c r="F25" s="325"/>
      <c r="G25" s="348"/>
      <c r="H25" s="308"/>
      <c r="I25" s="308"/>
      <c r="J25" s="325"/>
      <c r="K25" s="330"/>
      <c r="L25" s="325"/>
      <c r="M25" s="325"/>
      <c r="N25" s="325"/>
      <c r="O25" s="325"/>
      <c r="P25" s="325"/>
      <c r="R25" s="349"/>
    </row>
    <row r="26" spans="1:18" ht="15.5">
      <c r="A26" s="349"/>
      <c r="B26" s="308"/>
      <c r="C26" s="308"/>
      <c r="D26" s="308"/>
      <c r="E26" s="325"/>
      <c r="F26" s="325"/>
      <c r="G26" s="308"/>
      <c r="H26" s="308"/>
      <c r="I26" s="308"/>
      <c r="J26" s="325"/>
      <c r="K26" s="332">
        <f>Kepsek</f>
        <v>0</v>
      </c>
      <c r="L26" s="325"/>
      <c r="M26" s="325"/>
      <c r="N26" s="325"/>
      <c r="O26" s="325"/>
      <c r="P26" s="325"/>
      <c r="R26" s="349"/>
    </row>
    <row r="27" spans="1:18" ht="15.5">
      <c r="A27" s="349"/>
      <c r="B27" s="325"/>
      <c r="C27" s="325"/>
      <c r="D27" s="325"/>
      <c r="E27" s="325"/>
      <c r="F27" s="325"/>
      <c r="G27" s="325"/>
      <c r="H27" s="325"/>
      <c r="I27" s="308"/>
      <c r="J27" s="325"/>
      <c r="K27" s="334">
        <f>Pangkat_gol</f>
        <v>0</v>
      </c>
      <c r="L27" s="325"/>
      <c r="M27" s="325"/>
      <c r="N27" s="325"/>
      <c r="O27" s="325"/>
      <c r="P27" s="325"/>
      <c r="R27" s="349"/>
    </row>
    <row r="28" spans="1:18" ht="15.5">
      <c r="A28" s="349"/>
      <c r="K28" s="335">
        <f>NIP_Kepsek</f>
        <v>0</v>
      </c>
      <c r="R28" s="349"/>
    </row>
    <row r="29" spans="1:18">
      <c r="A29" s="349"/>
      <c r="B29" s="350"/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49"/>
    </row>
    <row r="30" spans="1:18">
      <c r="A30" s="349" t="s">
        <v>134</v>
      </c>
      <c r="B30" s="350"/>
      <c r="C30" s="350"/>
      <c r="D30" s="350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  <c r="Q30" s="350"/>
      <c r="R30" s="349"/>
    </row>
  </sheetData>
  <sheetProtection password="CC5B" sheet="1" objects="1" scenarios="1"/>
  <mergeCells count="6">
    <mergeCell ref="C11:P11"/>
    <mergeCell ref="C12:P12"/>
    <mergeCell ref="C15:E15"/>
    <mergeCell ref="F15:H15"/>
    <mergeCell ref="I15:L15"/>
    <mergeCell ref="M15:P15"/>
  </mergeCells>
  <dataValidations count="1">
    <dataValidation type="decimal" allowBlank="1" showInputMessage="1" showErrorMessage="1" error="Print saja !" promptTitle="Peringatan" sqref="K18:K19 I16:K16 J18:J21 I19:I21 K28 K24:K26">
      <formula1>-1</formula1>
      <formula2>-1</formula2>
    </dataValidation>
  </dataValidations>
  <pageMargins left="0.7" right="0.7" top="0.75" bottom="0.75" header="0.3" footer="0.3"/>
  <pageSetup paperSize="9" scale="95" orientation="portrait" horizontalDpi="4294967293" verticalDpi="4294967293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>
  <dimension ref="B2:L26"/>
  <sheetViews>
    <sheetView showGridLines="0" workbookViewId="0">
      <selection activeCell="L19" sqref="L19"/>
    </sheetView>
  </sheetViews>
  <sheetFormatPr defaultRowHeight="14.5"/>
  <cols>
    <col min="14" max="14" width="10.7265625" bestFit="1" customWidth="1"/>
    <col min="17" max="17" width="21" customWidth="1"/>
  </cols>
  <sheetData>
    <row r="2" spans="2:5">
      <c r="B2" s="288" t="s">
        <v>231</v>
      </c>
    </row>
    <row r="4" spans="2:5">
      <c r="B4" s="245"/>
    </row>
    <row r="5" spans="2:5">
      <c r="B5" s="244">
        <v>2021</v>
      </c>
    </row>
    <row r="6" spans="2:5">
      <c r="B6" t="s">
        <v>208</v>
      </c>
    </row>
    <row r="7" spans="2:5">
      <c r="B7" t="s">
        <v>214</v>
      </c>
    </row>
    <row r="8" spans="2:5">
      <c r="B8" t="s">
        <v>237</v>
      </c>
    </row>
    <row r="9" spans="2:5">
      <c r="B9" t="s">
        <v>232</v>
      </c>
      <c r="E9" s="287"/>
    </row>
    <row r="10" spans="2:5">
      <c r="B10" t="s">
        <v>236</v>
      </c>
    </row>
    <row r="11" spans="2:5">
      <c r="B11" s="289" t="s">
        <v>238</v>
      </c>
    </row>
    <row r="12" spans="2:5">
      <c r="B12" t="s">
        <v>234</v>
      </c>
    </row>
    <row r="13" spans="2:5">
      <c r="B13" t="s">
        <v>235</v>
      </c>
    </row>
    <row r="16" spans="2:5">
      <c r="B16" s="289" t="s">
        <v>207</v>
      </c>
    </row>
    <row r="17" spans="2:12">
      <c r="L17" t="s">
        <v>259</v>
      </c>
    </row>
    <row r="18" spans="2:12">
      <c r="L18" t="s">
        <v>260</v>
      </c>
    </row>
    <row r="23" spans="2:12">
      <c r="B23" s="246"/>
    </row>
    <row r="25" spans="2:12">
      <c r="B25" t="s">
        <v>181</v>
      </c>
    </row>
    <row r="26" spans="2:12">
      <c r="B26" t="s">
        <v>239</v>
      </c>
    </row>
  </sheetData>
  <sheetProtection password="C762" sheet="1" objects="1" scenarios="1" selectLockedCells="1" selectUnlockedCells="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X71"/>
  <sheetViews>
    <sheetView showGridLines="0" zoomScale="80" zoomScaleNormal="80" zoomScaleSheetLayoutView="80" workbookViewId="0">
      <pane xSplit="5" ySplit="9" topLeftCell="F13" activePane="bottomRight" state="frozen"/>
      <selection pane="topRight" activeCell="F1" sqref="F1"/>
      <selection pane="bottomLeft" activeCell="A10" sqref="A10"/>
      <selection pane="bottomRight" activeCell="AF29" sqref="AF29"/>
    </sheetView>
  </sheetViews>
  <sheetFormatPr defaultColWidth="0" defaultRowHeight="14.5"/>
  <cols>
    <col min="1" max="1" width="2.1796875" style="1" customWidth="1"/>
    <col min="2" max="2" width="5.26953125" style="1" customWidth="1"/>
    <col min="3" max="3" width="7.81640625" style="1" customWidth="1"/>
    <col min="4" max="4" width="38.26953125" style="1" customWidth="1"/>
    <col min="5" max="5" width="8.81640625" style="1" customWidth="1"/>
    <col min="6" max="38" width="6.1796875" style="1" customWidth="1"/>
    <col min="39" max="40" width="12" style="1" bestFit="1" customWidth="1"/>
    <col min="41" max="41" width="8" style="1" bestFit="1" customWidth="1"/>
    <col min="42" max="42" width="12" style="1" bestFit="1" customWidth="1"/>
    <col min="43" max="43" width="2.81640625" style="1" customWidth="1"/>
    <col min="44" max="44" width="11.1796875" style="1" customWidth="1"/>
    <col min="45" max="45" width="6.1796875" style="1" customWidth="1"/>
    <col min="46" max="46" width="2.1796875" style="1" customWidth="1"/>
    <col min="47" max="47" width="3.54296875" style="1" customWidth="1"/>
    <col min="48" max="48" width="19" style="1" customWidth="1"/>
    <col min="49" max="49" width="9.1796875" style="1" customWidth="1"/>
    <col min="50" max="50" width="2.453125" style="1" customWidth="1"/>
    <col min="51" max="16384" width="9.1796875" style="1" hidden="1"/>
  </cols>
  <sheetData>
    <row r="1" spans="2:49" ht="20">
      <c r="B1" s="447" t="s">
        <v>198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  <c r="AG1" s="447"/>
      <c r="AH1" s="447"/>
      <c r="AI1" s="447"/>
      <c r="AJ1" s="447"/>
      <c r="AK1" s="447"/>
      <c r="AL1" s="447"/>
      <c r="AM1" s="447"/>
      <c r="AN1" s="447"/>
      <c r="AO1" s="447"/>
      <c r="AP1" s="447"/>
    </row>
    <row r="2" spans="2:49" ht="6.65" customHeight="1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2:49" ht="15" customHeight="1">
      <c r="D3" s="27" t="s">
        <v>13</v>
      </c>
      <c r="E3" s="27"/>
      <c r="F3" s="29" t="s">
        <v>67</v>
      </c>
      <c r="G3" s="28" t="str">
        <f>UPPER(Nama_Sekolah)</f>
        <v>SEKOLAH DASAR NEGERI 1 GIRIHARJO</v>
      </c>
      <c r="H3" s="29"/>
      <c r="J3" s="28"/>
      <c r="K3" s="29"/>
      <c r="L3" s="213"/>
      <c r="M3" s="213"/>
      <c r="N3" s="29"/>
      <c r="O3" s="213"/>
      <c r="P3" s="213"/>
      <c r="Q3" s="29"/>
      <c r="R3" s="213"/>
      <c r="S3" s="213"/>
      <c r="T3" s="29"/>
      <c r="W3" s="29"/>
      <c r="Z3" s="29"/>
      <c r="AC3" s="29"/>
      <c r="AF3" s="29"/>
      <c r="AI3" s="29"/>
      <c r="AL3" s="29"/>
      <c r="AM3" s="29"/>
      <c r="AN3" s="29"/>
    </row>
    <row r="4" spans="2:49">
      <c r="D4" s="27" t="s">
        <v>14</v>
      </c>
      <c r="E4" s="27"/>
      <c r="F4" s="29" t="s">
        <v>67</v>
      </c>
      <c r="G4" s="28" t="str">
        <f>NPSN</f>
        <v>20311583</v>
      </c>
      <c r="H4" s="29"/>
      <c r="J4" s="28"/>
      <c r="K4" s="29"/>
      <c r="L4" s="213"/>
      <c r="M4" s="213"/>
      <c r="N4" s="29"/>
      <c r="O4" s="213"/>
      <c r="P4" s="213"/>
      <c r="Q4" s="29"/>
      <c r="R4" s="213"/>
      <c r="S4" s="213"/>
      <c r="T4" s="29"/>
      <c r="W4" s="29"/>
      <c r="Z4" s="29"/>
      <c r="AC4" s="29"/>
      <c r="AF4" s="29"/>
      <c r="AI4" s="29"/>
      <c r="AL4" s="29"/>
      <c r="AM4" s="29"/>
      <c r="AN4" s="29"/>
    </row>
    <row r="5" spans="2:49">
      <c r="D5" s="27" t="s">
        <v>68</v>
      </c>
      <c r="E5" s="27"/>
      <c r="F5" s="29" t="s">
        <v>67</v>
      </c>
      <c r="G5" s="28" t="str">
        <f>Kecamatan&amp;", "&amp;Kabupaten&amp;", "&amp;Provinsi</f>
        <v>Puhpelem, Wonogiri, Jawa Tengah</v>
      </c>
      <c r="H5" s="29"/>
      <c r="J5" s="28"/>
      <c r="K5" s="29"/>
      <c r="L5" s="213"/>
      <c r="M5" s="213"/>
      <c r="N5" s="29"/>
      <c r="O5" s="213"/>
      <c r="P5" s="213"/>
      <c r="Q5" s="29"/>
      <c r="R5" s="213"/>
      <c r="S5" s="213"/>
      <c r="T5" s="29"/>
      <c r="W5" s="29"/>
      <c r="Z5" s="29"/>
      <c r="AC5" s="29"/>
      <c r="AF5" s="29"/>
      <c r="AI5" s="29"/>
      <c r="AL5" s="29"/>
      <c r="AM5" s="29"/>
      <c r="AN5" s="29"/>
    </row>
    <row r="6" spans="2:49" ht="9" customHeight="1">
      <c r="D6" s="21"/>
      <c r="E6" s="21"/>
      <c r="F6" s="23"/>
      <c r="G6" s="23"/>
      <c r="H6" s="23"/>
      <c r="I6" s="22"/>
      <c r="J6" s="22"/>
      <c r="K6" s="23"/>
      <c r="N6" s="23"/>
      <c r="Q6" s="23"/>
      <c r="T6" s="23"/>
      <c r="W6" s="23"/>
      <c r="Z6" s="23"/>
      <c r="AC6" s="23"/>
      <c r="AF6" s="23"/>
      <c r="AI6" s="23"/>
      <c r="AL6" s="23"/>
      <c r="AM6" s="23"/>
      <c r="AN6" s="23"/>
    </row>
    <row r="7" spans="2:49" ht="17.25" customHeight="1">
      <c r="B7" s="459" t="s">
        <v>7</v>
      </c>
      <c r="C7" s="461" t="s">
        <v>43</v>
      </c>
      <c r="D7" s="459" t="s">
        <v>8</v>
      </c>
      <c r="E7" s="32" t="s">
        <v>66</v>
      </c>
      <c r="F7" s="51">
        <v>71</v>
      </c>
      <c r="G7" s="51">
        <v>71</v>
      </c>
      <c r="H7" s="444" t="s">
        <v>173</v>
      </c>
      <c r="I7" s="51">
        <v>71</v>
      </c>
      <c r="J7" s="51">
        <v>71</v>
      </c>
      <c r="K7" s="444" t="s">
        <v>173</v>
      </c>
      <c r="L7" s="51">
        <v>71</v>
      </c>
      <c r="M7" s="51">
        <v>71</v>
      </c>
      <c r="N7" s="444" t="s">
        <v>173</v>
      </c>
      <c r="O7" s="51">
        <v>65</v>
      </c>
      <c r="P7" s="51">
        <v>75</v>
      </c>
      <c r="Q7" s="444" t="s">
        <v>173</v>
      </c>
      <c r="R7" s="51">
        <v>70</v>
      </c>
      <c r="S7" s="51">
        <v>75</v>
      </c>
      <c r="T7" s="444" t="s">
        <v>173</v>
      </c>
      <c r="U7" s="51">
        <v>71</v>
      </c>
      <c r="V7" s="51">
        <v>71</v>
      </c>
      <c r="W7" s="444" t="s">
        <v>173</v>
      </c>
      <c r="X7" s="51">
        <v>71</v>
      </c>
      <c r="Y7" s="51">
        <v>71</v>
      </c>
      <c r="Z7" s="444" t="s">
        <v>173</v>
      </c>
      <c r="AA7" s="51">
        <v>71</v>
      </c>
      <c r="AB7" s="51">
        <v>71</v>
      </c>
      <c r="AC7" s="444" t="s">
        <v>173</v>
      </c>
      <c r="AD7" s="51">
        <v>71</v>
      </c>
      <c r="AE7" s="51">
        <v>71</v>
      </c>
      <c r="AF7" s="444" t="s">
        <v>173</v>
      </c>
      <c r="AG7" s="51">
        <v>71</v>
      </c>
      <c r="AH7" s="51">
        <v>71</v>
      </c>
      <c r="AI7" s="444" t="s">
        <v>173</v>
      </c>
      <c r="AJ7" s="51">
        <v>71</v>
      </c>
      <c r="AK7" s="51">
        <v>71</v>
      </c>
      <c r="AL7" s="444" t="s">
        <v>173</v>
      </c>
      <c r="AM7" s="465" t="s">
        <v>10</v>
      </c>
      <c r="AN7" s="466"/>
      <c r="AO7" s="455" t="s">
        <v>9</v>
      </c>
      <c r="AP7" s="457" t="s">
        <v>10</v>
      </c>
    </row>
    <row r="8" spans="2:49">
      <c r="B8" s="460"/>
      <c r="C8" s="462"/>
      <c r="D8" s="460"/>
      <c r="E8" s="32" t="s">
        <v>69</v>
      </c>
      <c r="F8" s="436" t="str">
        <f>PENGATURAN!F5</f>
        <v>Agama</v>
      </c>
      <c r="G8" s="437"/>
      <c r="H8" s="445"/>
      <c r="I8" s="438" t="str">
        <f>PENGATURAN!F6</f>
        <v>PKn</v>
      </c>
      <c r="J8" s="439"/>
      <c r="K8" s="445"/>
      <c r="L8" s="440" t="str">
        <f>PENGATURAN!F7</f>
        <v>B. Ind.</v>
      </c>
      <c r="M8" s="441"/>
      <c r="N8" s="445"/>
      <c r="O8" s="442" t="str">
        <f>PENGATURAN!F8</f>
        <v>MTK</v>
      </c>
      <c r="P8" s="443"/>
      <c r="Q8" s="445"/>
      <c r="R8" s="469" t="str">
        <f>PENGATURAN!F9</f>
        <v>IPA</v>
      </c>
      <c r="S8" s="470"/>
      <c r="T8" s="445"/>
      <c r="U8" s="448" t="str">
        <f>PENGATURAN!F10</f>
        <v xml:space="preserve">IPS </v>
      </c>
      <c r="V8" s="449"/>
      <c r="W8" s="445"/>
      <c r="X8" s="450" t="str">
        <f>PENGATURAN!F11</f>
        <v>SBdP</v>
      </c>
      <c r="Y8" s="449"/>
      <c r="Z8" s="445"/>
      <c r="AA8" s="451" t="str">
        <f>PENGATURAN!F12</f>
        <v>PJOK</v>
      </c>
      <c r="AB8" s="452"/>
      <c r="AC8" s="445"/>
      <c r="AD8" s="453" t="str">
        <f>PENGATURAN!F16</f>
        <v>Bahasa Jawa</v>
      </c>
      <c r="AE8" s="454"/>
      <c r="AF8" s="445"/>
      <c r="AG8" s="471">
        <f>PENGATURAN!F17</f>
        <v>0</v>
      </c>
      <c r="AH8" s="472"/>
      <c r="AI8" s="445"/>
      <c r="AJ8" s="463">
        <f>PENGATURAN!F18</f>
        <v>0</v>
      </c>
      <c r="AK8" s="464"/>
      <c r="AL8" s="445"/>
      <c r="AM8" s="467"/>
      <c r="AN8" s="468"/>
      <c r="AO8" s="456"/>
      <c r="AP8" s="458"/>
      <c r="AR8" s="34" t="s">
        <v>71</v>
      </c>
    </row>
    <row r="9" spans="2:49" ht="16" thickBot="1">
      <c r="B9" s="460"/>
      <c r="C9" s="462"/>
      <c r="D9" s="460"/>
      <c r="E9" s="220" t="s">
        <v>175</v>
      </c>
      <c r="F9" s="222" t="s">
        <v>171</v>
      </c>
      <c r="G9" s="223" t="s">
        <v>172</v>
      </c>
      <c r="H9" s="446"/>
      <c r="I9" s="222" t="s">
        <v>171</v>
      </c>
      <c r="J9" s="223" t="s">
        <v>172</v>
      </c>
      <c r="K9" s="446"/>
      <c r="L9" s="222" t="s">
        <v>171</v>
      </c>
      <c r="M9" s="223" t="s">
        <v>172</v>
      </c>
      <c r="N9" s="446"/>
      <c r="O9" s="222" t="s">
        <v>171</v>
      </c>
      <c r="P9" s="223" t="s">
        <v>172</v>
      </c>
      <c r="Q9" s="446"/>
      <c r="R9" s="222" t="s">
        <v>171</v>
      </c>
      <c r="S9" s="223" t="s">
        <v>172</v>
      </c>
      <c r="T9" s="446"/>
      <c r="U9" s="222" t="s">
        <v>171</v>
      </c>
      <c r="V9" s="223" t="s">
        <v>172</v>
      </c>
      <c r="W9" s="446"/>
      <c r="X9" s="222" t="s">
        <v>171</v>
      </c>
      <c r="Y9" s="223" t="s">
        <v>172</v>
      </c>
      <c r="Z9" s="446"/>
      <c r="AA9" s="222" t="s">
        <v>171</v>
      </c>
      <c r="AB9" s="223" t="s">
        <v>172</v>
      </c>
      <c r="AC9" s="446"/>
      <c r="AD9" s="222" t="s">
        <v>171</v>
      </c>
      <c r="AE9" s="223" t="s">
        <v>172</v>
      </c>
      <c r="AF9" s="446"/>
      <c r="AG9" s="222" t="s">
        <v>171</v>
      </c>
      <c r="AH9" s="223" t="s">
        <v>172</v>
      </c>
      <c r="AI9" s="446"/>
      <c r="AJ9" s="222" t="s">
        <v>171</v>
      </c>
      <c r="AK9" s="223" t="s">
        <v>172</v>
      </c>
      <c r="AL9" s="446"/>
      <c r="AM9" s="224" t="s">
        <v>171</v>
      </c>
      <c r="AN9" s="395" t="s">
        <v>172</v>
      </c>
      <c r="AO9" s="456"/>
      <c r="AP9" s="458"/>
      <c r="AR9" s="35" t="s">
        <v>176</v>
      </c>
    </row>
    <row r="10" spans="2:49" ht="15" thickTop="1">
      <c r="B10" s="226">
        <v>1</v>
      </c>
      <c r="C10" s="226" t="str">
        <f>'Data Siswa'!C4&amp;""</f>
        <v>2887</v>
      </c>
      <c r="D10" s="227" t="str">
        <f>'Data Siswa'!F4&amp;""</f>
        <v/>
      </c>
      <c r="E10" s="433"/>
      <c r="F10" s="194">
        <v>96</v>
      </c>
      <c r="G10" s="194">
        <v>88</v>
      </c>
      <c r="H10" s="398">
        <f>IFERROR(AVERAGE(F10:G10),"")</f>
        <v>92</v>
      </c>
      <c r="I10" s="194">
        <v>88</v>
      </c>
      <c r="J10" s="194">
        <v>89</v>
      </c>
      <c r="K10" s="398">
        <f>IFERROR(AVERAGE(I10:J10),"")</f>
        <v>88.5</v>
      </c>
      <c r="L10" s="294">
        <v>85</v>
      </c>
      <c r="M10" s="294">
        <v>88</v>
      </c>
      <c r="N10" s="398">
        <f>IFERROR(AVERAGE(L10:M10),"")</f>
        <v>86.5</v>
      </c>
      <c r="O10" s="194">
        <v>82</v>
      </c>
      <c r="P10" s="194">
        <v>86</v>
      </c>
      <c r="Q10" s="398">
        <f>IFERROR(AVERAGE(O10:P10),"")</f>
        <v>84</v>
      </c>
      <c r="R10" s="194">
        <v>81</v>
      </c>
      <c r="S10" s="194">
        <v>87</v>
      </c>
      <c r="T10" s="398">
        <f>IFERROR(AVERAGE(R10:S10),"")</f>
        <v>84</v>
      </c>
      <c r="U10" s="194">
        <v>82</v>
      </c>
      <c r="V10" s="194">
        <v>84</v>
      </c>
      <c r="W10" s="398">
        <f>IFERROR(AVERAGE(U10:V10),"")</f>
        <v>83</v>
      </c>
      <c r="X10" s="194">
        <v>84</v>
      </c>
      <c r="Y10" s="194">
        <v>88</v>
      </c>
      <c r="Z10" s="398">
        <f>IFERROR(AVERAGE(X10:Y10),"")</f>
        <v>86</v>
      </c>
      <c r="AA10" s="194">
        <v>81</v>
      </c>
      <c r="AB10" s="194">
        <v>89</v>
      </c>
      <c r="AC10" s="398">
        <f>IFERROR(AVERAGE(AA10:AB10),"")</f>
        <v>85</v>
      </c>
      <c r="AD10" s="194">
        <v>83</v>
      </c>
      <c r="AE10" s="194">
        <v>87</v>
      </c>
      <c r="AF10" s="398">
        <f>IFERROR(AVERAGE(AD10:AE10),"")</f>
        <v>85</v>
      </c>
      <c r="AG10" s="49"/>
      <c r="AH10" s="49"/>
      <c r="AI10" s="398" t="str">
        <f>IFERROR(AVERAGE(AG10:AH10),"")</f>
        <v/>
      </c>
      <c r="AJ10" s="49"/>
      <c r="AK10" s="49"/>
      <c r="AL10" s="398" t="str">
        <f>IFERROR(AVERAGE(AJ10:AK10),"")</f>
        <v/>
      </c>
      <c r="AM10" s="396">
        <f>IFERROR(AVERAGE(F10,I10,L10,O10,R10,U10,X10,AA10,AD10,AG10,AJ10),"")</f>
        <v>84.666666666666671</v>
      </c>
      <c r="AN10" s="396">
        <f>IFERROR(AVERAGE(G10,J10,M10,P10,S10,V10,Y10,AB10,AE10,AH10,AK10),"")</f>
        <v>87.333333333333329</v>
      </c>
      <c r="AO10" s="396">
        <f>IF(SUM(H10,K10,N10,Q10,T10,W10,Z10,AC10,AF10,AI10,AL10)=0,"",SUM(H10,K10,N10,Q10,T10,W10,Z10,AC10,AF10,AI10,AL10))</f>
        <v>774</v>
      </c>
      <c r="AP10" s="396">
        <f>IFERROR(AVERAGE(H10,K10,N10,Q10,T10,W10,Z10,AC10,AF10,AI10,AL10),"")</f>
        <v>86</v>
      </c>
      <c r="AQ10" s="19"/>
      <c r="AR10" s="35" t="str">
        <f t="shared" ref="AR10:AR41" si="0">IF(D10="","Sembunyikan","Data")</f>
        <v>Sembunyikan</v>
      </c>
    </row>
    <row r="11" spans="2:49">
      <c r="B11" s="7">
        <v>2</v>
      </c>
      <c r="C11" s="7" t="str">
        <f>'Data Siswa'!C5&amp;""</f>
        <v>2888</v>
      </c>
      <c r="D11" s="11" t="str">
        <f>'Data Siswa'!F5&amp;""</f>
        <v/>
      </c>
      <c r="E11" s="434"/>
      <c r="F11" s="50">
        <v>76</v>
      </c>
      <c r="G11" s="50">
        <v>76</v>
      </c>
      <c r="H11" s="397">
        <f t="shared" ref="H11:H59" si="1">IFERROR(AVERAGE(F11:G11),"")</f>
        <v>76</v>
      </c>
      <c r="I11" s="50">
        <v>75</v>
      </c>
      <c r="J11" s="50">
        <v>75</v>
      </c>
      <c r="K11" s="397">
        <f t="shared" ref="K11:K59" si="2">IFERROR(AVERAGE(I11:J11),"")</f>
        <v>75</v>
      </c>
      <c r="L11" s="50">
        <v>71</v>
      </c>
      <c r="M11" s="50">
        <v>77</v>
      </c>
      <c r="N11" s="397">
        <f t="shared" ref="N11:N59" si="3">IFERROR(AVERAGE(L11:M11),"")</f>
        <v>74</v>
      </c>
      <c r="O11" s="50">
        <v>66</v>
      </c>
      <c r="P11" s="50">
        <v>79</v>
      </c>
      <c r="Q11" s="397">
        <f t="shared" ref="Q11:Q59" si="4">IFERROR(AVERAGE(O11:P11),"")</f>
        <v>72.5</v>
      </c>
      <c r="R11" s="50">
        <v>70</v>
      </c>
      <c r="S11" s="50">
        <v>76</v>
      </c>
      <c r="T11" s="397">
        <f t="shared" ref="T11:T59" si="5">IFERROR(AVERAGE(R11:S11),"")</f>
        <v>73</v>
      </c>
      <c r="U11" s="50">
        <v>71</v>
      </c>
      <c r="V11" s="50">
        <v>73</v>
      </c>
      <c r="W11" s="397">
        <f t="shared" ref="W11:W59" si="6">IFERROR(AVERAGE(U11:V11),"")</f>
        <v>72</v>
      </c>
      <c r="X11" s="50">
        <v>72</v>
      </c>
      <c r="Y11" s="50">
        <v>72</v>
      </c>
      <c r="Z11" s="397">
        <f t="shared" ref="Z11:Z59" si="7">IFERROR(AVERAGE(X11:Y11),"")</f>
        <v>72</v>
      </c>
      <c r="AA11" s="50">
        <v>76</v>
      </c>
      <c r="AB11" s="50">
        <v>80</v>
      </c>
      <c r="AC11" s="397">
        <f t="shared" ref="AC11:AC59" si="8">IFERROR(AVERAGE(AA11:AB11),"")</f>
        <v>78</v>
      </c>
      <c r="AD11" s="50">
        <v>72</v>
      </c>
      <c r="AE11" s="50">
        <v>71</v>
      </c>
      <c r="AF11" s="397">
        <f t="shared" ref="AF11:AF59" si="9">IFERROR(AVERAGE(AD11:AE11),"")</f>
        <v>71.5</v>
      </c>
      <c r="AG11" s="49"/>
      <c r="AH11" s="50"/>
      <c r="AI11" s="397" t="str">
        <f t="shared" ref="AI11:AI59" si="10">IFERROR(AVERAGE(AG11:AH11),"")</f>
        <v/>
      </c>
      <c r="AJ11" s="50"/>
      <c r="AK11" s="50"/>
      <c r="AL11" s="397" t="str">
        <f t="shared" ref="AL11:AL59" si="11">IFERROR(AVERAGE(AJ11:AK11),"")</f>
        <v/>
      </c>
      <c r="AM11" s="396">
        <f t="shared" ref="AM11:AM59" si="12">IFERROR(AVERAGE(F11,I11,L11,O11,R11,U11,X11,AA11,AD11,AG11,AJ11),"")</f>
        <v>72.111111111111114</v>
      </c>
      <c r="AN11" s="396">
        <f t="shared" ref="AN11:AN59" si="13">IFERROR(AVERAGE(G11,J11,M11,P11,S11,V11,Y11,AB11,AE11,AH11,AK11),"")</f>
        <v>75.444444444444443</v>
      </c>
      <c r="AO11" s="396">
        <f t="shared" ref="AO11:AO59" si="14">IF(SUM(H11,K11,N11,Q11,T11,W11,Z11,AC11,AF11,AI11,AL11)=0,"",SUM(H11,K11,N11,Q11,T11,W11,Z11,AC11,AF11,AI11,AL11))</f>
        <v>664</v>
      </c>
      <c r="AP11" s="396">
        <f t="shared" ref="AP11:AP59" si="15">IFERROR(AVERAGE(H11,K11,N11,Q11,T11,W11,Z11,AC11,AF11,AI11,AL11),"")</f>
        <v>73.777777777777771</v>
      </c>
      <c r="AR11" s="35" t="str">
        <f t="shared" si="0"/>
        <v>Sembunyikan</v>
      </c>
      <c r="AV11" s="4" t="s">
        <v>46</v>
      </c>
      <c r="AW11" s="5"/>
    </row>
    <row r="12" spans="2:49">
      <c r="B12" s="7">
        <v>3</v>
      </c>
      <c r="C12" s="7" t="str">
        <f>'Data Siswa'!C6&amp;""</f>
        <v>2886</v>
      </c>
      <c r="D12" s="11" t="str">
        <f>'Data Siswa'!F6&amp;""</f>
        <v/>
      </c>
      <c r="E12" s="434"/>
      <c r="F12" s="50">
        <v>87</v>
      </c>
      <c r="G12" s="50">
        <v>82</v>
      </c>
      <c r="H12" s="397">
        <f t="shared" si="1"/>
        <v>84.5</v>
      </c>
      <c r="I12" s="50">
        <v>78</v>
      </c>
      <c r="J12" s="50">
        <v>81</v>
      </c>
      <c r="K12" s="397">
        <f t="shared" si="2"/>
        <v>79.5</v>
      </c>
      <c r="L12" s="50">
        <v>80</v>
      </c>
      <c r="M12" s="50">
        <v>77</v>
      </c>
      <c r="N12" s="397">
        <f t="shared" si="3"/>
        <v>78.5</v>
      </c>
      <c r="O12" s="50">
        <v>71</v>
      </c>
      <c r="P12" s="50">
        <v>75</v>
      </c>
      <c r="Q12" s="397">
        <f t="shared" si="4"/>
        <v>73</v>
      </c>
      <c r="R12" s="50">
        <v>71</v>
      </c>
      <c r="S12" s="50">
        <v>78</v>
      </c>
      <c r="T12" s="397">
        <f t="shared" si="5"/>
        <v>74.5</v>
      </c>
      <c r="U12" s="50">
        <v>72</v>
      </c>
      <c r="V12" s="50">
        <v>74</v>
      </c>
      <c r="W12" s="397">
        <f t="shared" si="6"/>
        <v>73</v>
      </c>
      <c r="X12" s="50">
        <v>76</v>
      </c>
      <c r="Y12" s="50">
        <v>80</v>
      </c>
      <c r="Z12" s="397">
        <f t="shared" si="7"/>
        <v>78</v>
      </c>
      <c r="AA12" s="50">
        <v>71</v>
      </c>
      <c r="AB12" s="50">
        <v>78</v>
      </c>
      <c r="AC12" s="397">
        <f t="shared" si="8"/>
        <v>74.5</v>
      </c>
      <c r="AD12" s="50">
        <v>77</v>
      </c>
      <c r="AE12" s="50">
        <v>79</v>
      </c>
      <c r="AF12" s="397">
        <f t="shared" si="9"/>
        <v>78</v>
      </c>
      <c r="AG12" s="49"/>
      <c r="AH12" s="50"/>
      <c r="AI12" s="397" t="str">
        <f t="shared" si="10"/>
        <v/>
      </c>
      <c r="AJ12" s="50"/>
      <c r="AK12" s="50"/>
      <c r="AL12" s="397" t="str">
        <f t="shared" si="11"/>
        <v/>
      </c>
      <c r="AM12" s="396">
        <f t="shared" si="12"/>
        <v>75.888888888888886</v>
      </c>
      <c r="AN12" s="396">
        <f t="shared" si="13"/>
        <v>78.222222222222229</v>
      </c>
      <c r="AO12" s="396">
        <f t="shared" si="14"/>
        <v>693.5</v>
      </c>
      <c r="AP12" s="396">
        <f t="shared" si="15"/>
        <v>77.055555555555557</v>
      </c>
      <c r="AR12" s="35" t="str">
        <f t="shared" si="0"/>
        <v>Sembunyikan</v>
      </c>
      <c r="AV12" s="6" t="s">
        <v>44</v>
      </c>
      <c r="AW12" s="2">
        <f>PENGATURAN!K5</f>
        <v>10</v>
      </c>
    </row>
    <row r="13" spans="2:49">
      <c r="B13" s="7">
        <v>4</v>
      </c>
      <c r="C13" s="7" t="str">
        <f>'Data Siswa'!C7&amp;""</f>
        <v>2864</v>
      </c>
      <c r="D13" s="11" t="str">
        <f>'Data Siswa'!F7&amp;""</f>
        <v/>
      </c>
      <c r="E13" s="434"/>
      <c r="F13" s="50">
        <v>77</v>
      </c>
      <c r="G13" s="50">
        <v>76</v>
      </c>
      <c r="H13" s="397">
        <f t="shared" si="1"/>
        <v>76.5</v>
      </c>
      <c r="I13" s="50">
        <v>76</v>
      </c>
      <c r="J13" s="50">
        <v>75</v>
      </c>
      <c r="K13" s="397">
        <f t="shared" si="2"/>
        <v>75.5</v>
      </c>
      <c r="L13" s="50">
        <v>73</v>
      </c>
      <c r="M13" s="50">
        <v>68</v>
      </c>
      <c r="N13" s="397">
        <f t="shared" si="3"/>
        <v>70.5</v>
      </c>
      <c r="O13" s="50">
        <v>66</v>
      </c>
      <c r="P13" s="50">
        <v>68</v>
      </c>
      <c r="Q13" s="397">
        <f t="shared" si="4"/>
        <v>67</v>
      </c>
      <c r="R13" s="50">
        <v>71</v>
      </c>
      <c r="S13" s="50">
        <v>81</v>
      </c>
      <c r="T13" s="397">
        <f t="shared" si="5"/>
        <v>76</v>
      </c>
      <c r="U13" s="50">
        <v>71</v>
      </c>
      <c r="V13" s="50">
        <v>77</v>
      </c>
      <c r="W13" s="397">
        <f t="shared" si="6"/>
        <v>74</v>
      </c>
      <c r="X13" s="50">
        <v>73</v>
      </c>
      <c r="Y13" s="50">
        <v>75</v>
      </c>
      <c r="Z13" s="397">
        <f t="shared" si="7"/>
        <v>74</v>
      </c>
      <c r="AA13" s="50">
        <v>75</v>
      </c>
      <c r="AB13" s="50">
        <v>78</v>
      </c>
      <c r="AC13" s="397">
        <f t="shared" si="8"/>
        <v>76.5</v>
      </c>
      <c r="AD13" s="50">
        <v>71</v>
      </c>
      <c r="AE13" s="50">
        <v>74</v>
      </c>
      <c r="AF13" s="397">
        <f t="shared" si="9"/>
        <v>72.5</v>
      </c>
      <c r="AG13" s="49"/>
      <c r="AH13" s="50"/>
      <c r="AI13" s="397" t="str">
        <f t="shared" si="10"/>
        <v/>
      </c>
      <c r="AJ13" s="50"/>
      <c r="AK13" s="50"/>
      <c r="AL13" s="397" t="str">
        <f t="shared" si="11"/>
        <v/>
      </c>
      <c r="AM13" s="396">
        <f t="shared" si="12"/>
        <v>72.555555555555557</v>
      </c>
      <c r="AN13" s="396">
        <f t="shared" si="13"/>
        <v>74.666666666666671</v>
      </c>
      <c r="AO13" s="396">
        <f t="shared" si="14"/>
        <v>662.5</v>
      </c>
      <c r="AP13" s="396">
        <f t="shared" si="15"/>
        <v>73.611111111111114</v>
      </c>
      <c r="AR13" s="35" t="str">
        <f t="shared" si="0"/>
        <v>Sembunyikan</v>
      </c>
      <c r="AV13" s="6" t="s">
        <v>45</v>
      </c>
      <c r="AW13" s="2">
        <f>PENGATURAN!K6</f>
        <v>100</v>
      </c>
    </row>
    <row r="14" spans="2:49">
      <c r="B14" s="7">
        <v>5</v>
      </c>
      <c r="C14" s="7" t="str">
        <f>'Data Siswa'!C8&amp;""</f>
        <v>2890</v>
      </c>
      <c r="D14" s="11" t="str">
        <f>'Data Siswa'!F8&amp;""</f>
        <v/>
      </c>
      <c r="E14" s="434"/>
      <c r="F14" s="50">
        <v>81</v>
      </c>
      <c r="G14" s="50">
        <v>78</v>
      </c>
      <c r="H14" s="397">
        <f t="shared" si="1"/>
        <v>79.5</v>
      </c>
      <c r="I14" s="50">
        <v>79</v>
      </c>
      <c r="J14" s="50">
        <v>78</v>
      </c>
      <c r="K14" s="397">
        <f t="shared" si="2"/>
        <v>78.5</v>
      </c>
      <c r="L14" s="50">
        <v>77</v>
      </c>
      <c r="M14" s="50">
        <v>75</v>
      </c>
      <c r="N14" s="397">
        <f t="shared" si="3"/>
        <v>76</v>
      </c>
      <c r="O14" s="50">
        <v>69</v>
      </c>
      <c r="P14" s="50">
        <v>75</v>
      </c>
      <c r="Q14" s="397">
        <f t="shared" si="4"/>
        <v>72</v>
      </c>
      <c r="R14" s="50">
        <v>71</v>
      </c>
      <c r="S14" s="50">
        <v>81</v>
      </c>
      <c r="T14" s="397">
        <f t="shared" si="5"/>
        <v>76</v>
      </c>
      <c r="U14" s="50">
        <v>73</v>
      </c>
      <c r="V14" s="50">
        <v>78</v>
      </c>
      <c r="W14" s="397">
        <f t="shared" si="6"/>
        <v>75.5</v>
      </c>
      <c r="X14" s="50">
        <v>76</v>
      </c>
      <c r="Y14" s="50">
        <v>76</v>
      </c>
      <c r="Z14" s="397">
        <f t="shared" si="7"/>
        <v>76</v>
      </c>
      <c r="AA14" s="50">
        <v>77</v>
      </c>
      <c r="AB14" s="50">
        <v>79</v>
      </c>
      <c r="AC14" s="397">
        <f t="shared" si="8"/>
        <v>78</v>
      </c>
      <c r="AD14" s="50">
        <v>73</v>
      </c>
      <c r="AE14" s="50">
        <v>70</v>
      </c>
      <c r="AF14" s="397">
        <f t="shared" si="9"/>
        <v>71.5</v>
      </c>
      <c r="AG14" s="49"/>
      <c r="AH14" s="50"/>
      <c r="AI14" s="397" t="str">
        <f t="shared" si="10"/>
        <v/>
      </c>
      <c r="AJ14" s="50"/>
      <c r="AK14" s="50"/>
      <c r="AL14" s="397" t="str">
        <f t="shared" si="11"/>
        <v/>
      </c>
      <c r="AM14" s="396">
        <f t="shared" si="12"/>
        <v>75.111111111111114</v>
      </c>
      <c r="AN14" s="396">
        <f t="shared" si="13"/>
        <v>76.666666666666671</v>
      </c>
      <c r="AO14" s="396">
        <f t="shared" si="14"/>
        <v>683</v>
      </c>
      <c r="AP14" s="396">
        <f t="shared" si="15"/>
        <v>75.888888888888886</v>
      </c>
      <c r="AR14" s="35" t="str">
        <f t="shared" si="0"/>
        <v>Sembunyikan</v>
      </c>
    </row>
    <row r="15" spans="2:49">
      <c r="B15" s="7">
        <v>6</v>
      </c>
      <c r="C15" s="7" t="str">
        <f>'Data Siswa'!C9&amp;""</f>
        <v>2889</v>
      </c>
      <c r="D15" s="11" t="str">
        <f>'Data Siswa'!F9&amp;""</f>
        <v/>
      </c>
      <c r="E15" s="434"/>
      <c r="F15" s="50">
        <v>78</v>
      </c>
      <c r="G15" s="50">
        <v>78</v>
      </c>
      <c r="H15" s="397">
        <f t="shared" si="1"/>
        <v>78</v>
      </c>
      <c r="I15" s="50">
        <v>77</v>
      </c>
      <c r="J15" s="50">
        <v>78</v>
      </c>
      <c r="K15" s="397">
        <f t="shared" si="2"/>
        <v>77.5</v>
      </c>
      <c r="L15" s="50">
        <v>74</v>
      </c>
      <c r="M15" s="50">
        <v>75</v>
      </c>
      <c r="N15" s="397">
        <f t="shared" si="3"/>
        <v>74.5</v>
      </c>
      <c r="O15" s="50">
        <v>70</v>
      </c>
      <c r="P15" s="50">
        <v>80</v>
      </c>
      <c r="Q15" s="397">
        <f t="shared" si="4"/>
        <v>75</v>
      </c>
      <c r="R15" s="50">
        <v>72</v>
      </c>
      <c r="S15" s="50">
        <v>82</v>
      </c>
      <c r="T15" s="397">
        <f t="shared" si="5"/>
        <v>77</v>
      </c>
      <c r="U15" s="50">
        <v>73</v>
      </c>
      <c r="V15" s="50">
        <v>80</v>
      </c>
      <c r="W15" s="397">
        <f t="shared" si="6"/>
        <v>76.5</v>
      </c>
      <c r="X15" s="50">
        <v>77</v>
      </c>
      <c r="Y15" s="50">
        <v>73</v>
      </c>
      <c r="Z15" s="397">
        <f t="shared" si="7"/>
        <v>75</v>
      </c>
      <c r="AA15" s="50">
        <v>80</v>
      </c>
      <c r="AB15" s="50">
        <v>79</v>
      </c>
      <c r="AC15" s="397">
        <f t="shared" si="8"/>
        <v>79.5</v>
      </c>
      <c r="AD15" s="50">
        <v>73</v>
      </c>
      <c r="AE15" s="50">
        <v>70</v>
      </c>
      <c r="AF15" s="397">
        <f t="shared" si="9"/>
        <v>71.5</v>
      </c>
      <c r="AG15" s="49"/>
      <c r="AH15" s="50"/>
      <c r="AI15" s="397" t="str">
        <f t="shared" si="10"/>
        <v/>
      </c>
      <c r="AJ15" s="50"/>
      <c r="AK15" s="50"/>
      <c r="AL15" s="397" t="str">
        <f t="shared" si="11"/>
        <v/>
      </c>
      <c r="AM15" s="396">
        <f t="shared" si="12"/>
        <v>74.888888888888886</v>
      </c>
      <c r="AN15" s="396">
        <f t="shared" si="13"/>
        <v>77.222222222222229</v>
      </c>
      <c r="AO15" s="396">
        <f t="shared" si="14"/>
        <v>684.5</v>
      </c>
      <c r="AP15" s="396">
        <f t="shared" si="15"/>
        <v>76.055555555555557</v>
      </c>
      <c r="AR15" s="35" t="str">
        <f t="shared" si="0"/>
        <v>Sembunyikan</v>
      </c>
    </row>
    <row r="16" spans="2:49">
      <c r="B16" s="7">
        <v>7</v>
      </c>
      <c r="C16" s="7" t="str">
        <f>'Data Siswa'!C10&amp;""</f>
        <v>2891</v>
      </c>
      <c r="D16" s="11" t="str">
        <f>'Data Siswa'!F10&amp;""</f>
        <v/>
      </c>
      <c r="E16" s="434"/>
      <c r="F16" s="50">
        <v>90</v>
      </c>
      <c r="G16" s="50">
        <v>86</v>
      </c>
      <c r="H16" s="397">
        <f t="shared" si="1"/>
        <v>88</v>
      </c>
      <c r="I16" s="50">
        <v>83</v>
      </c>
      <c r="J16" s="50">
        <v>88</v>
      </c>
      <c r="K16" s="397">
        <f t="shared" si="2"/>
        <v>85.5</v>
      </c>
      <c r="L16" s="50">
        <v>82</v>
      </c>
      <c r="M16" s="50">
        <v>84</v>
      </c>
      <c r="N16" s="397">
        <f t="shared" si="3"/>
        <v>83</v>
      </c>
      <c r="O16" s="50">
        <v>81</v>
      </c>
      <c r="P16" s="50">
        <v>86</v>
      </c>
      <c r="Q16" s="397">
        <f t="shared" si="4"/>
        <v>83.5</v>
      </c>
      <c r="R16" s="50">
        <v>81</v>
      </c>
      <c r="S16" s="50">
        <v>89</v>
      </c>
      <c r="T16" s="397">
        <f t="shared" si="5"/>
        <v>85</v>
      </c>
      <c r="U16" s="50">
        <v>83</v>
      </c>
      <c r="V16" s="50">
        <v>85</v>
      </c>
      <c r="W16" s="397">
        <f t="shared" si="6"/>
        <v>84</v>
      </c>
      <c r="X16" s="50">
        <v>80</v>
      </c>
      <c r="Y16" s="50">
        <v>85</v>
      </c>
      <c r="Z16" s="397">
        <f t="shared" si="7"/>
        <v>82.5</v>
      </c>
      <c r="AA16" s="50">
        <v>79</v>
      </c>
      <c r="AB16" s="50">
        <v>88</v>
      </c>
      <c r="AC16" s="397">
        <f t="shared" si="8"/>
        <v>83.5</v>
      </c>
      <c r="AD16" s="50">
        <v>83</v>
      </c>
      <c r="AE16" s="50">
        <v>86</v>
      </c>
      <c r="AF16" s="397">
        <f t="shared" si="9"/>
        <v>84.5</v>
      </c>
      <c r="AG16" s="49"/>
      <c r="AH16" s="50"/>
      <c r="AI16" s="397" t="str">
        <f t="shared" si="10"/>
        <v/>
      </c>
      <c r="AJ16" s="50"/>
      <c r="AK16" s="50"/>
      <c r="AL16" s="397" t="str">
        <f t="shared" si="11"/>
        <v/>
      </c>
      <c r="AM16" s="396">
        <f t="shared" si="12"/>
        <v>82.444444444444443</v>
      </c>
      <c r="AN16" s="396">
        <f t="shared" si="13"/>
        <v>86.333333333333329</v>
      </c>
      <c r="AO16" s="396">
        <f t="shared" si="14"/>
        <v>759.5</v>
      </c>
      <c r="AP16" s="396">
        <f t="shared" si="15"/>
        <v>84.388888888888886</v>
      </c>
      <c r="AR16" s="35" t="str">
        <f t="shared" si="0"/>
        <v>Sembunyikan</v>
      </c>
    </row>
    <row r="17" spans="2:44">
      <c r="B17" s="7">
        <v>8</v>
      </c>
      <c r="C17" s="7" t="str">
        <f>'Data Siswa'!C11&amp;""</f>
        <v>2893</v>
      </c>
      <c r="D17" s="11" t="str">
        <f>'Data Siswa'!F11&amp;""</f>
        <v/>
      </c>
      <c r="E17" s="434"/>
      <c r="F17" s="50">
        <v>80</v>
      </c>
      <c r="G17" s="50">
        <v>78</v>
      </c>
      <c r="H17" s="397">
        <f t="shared" si="1"/>
        <v>79</v>
      </c>
      <c r="I17" s="50">
        <v>77</v>
      </c>
      <c r="J17" s="50">
        <v>75</v>
      </c>
      <c r="K17" s="397">
        <f t="shared" si="2"/>
        <v>76</v>
      </c>
      <c r="L17" s="50">
        <v>74</v>
      </c>
      <c r="M17" s="50">
        <v>78</v>
      </c>
      <c r="N17" s="397">
        <f t="shared" si="3"/>
        <v>76</v>
      </c>
      <c r="O17" s="50">
        <v>68</v>
      </c>
      <c r="P17" s="50">
        <v>71</v>
      </c>
      <c r="Q17" s="397">
        <f t="shared" si="4"/>
        <v>69.5</v>
      </c>
      <c r="R17" s="50">
        <v>71</v>
      </c>
      <c r="S17" s="50">
        <v>80</v>
      </c>
      <c r="T17" s="397">
        <f t="shared" si="5"/>
        <v>75.5</v>
      </c>
      <c r="U17" s="50">
        <v>73</v>
      </c>
      <c r="V17" s="50">
        <v>79</v>
      </c>
      <c r="W17" s="397">
        <f t="shared" si="6"/>
        <v>76</v>
      </c>
      <c r="X17" s="50">
        <v>74</v>
      </c>
      <c r="Y17" s="50">
        <v>73</v>
      </c>
      <c r="Z17" s="397">
        <f t="shared" si="7"/>
        <v>73.5</v>
      </c>
      <c r="AA17" s="50">
        <v>76</v>
      </c>
      <c r="AB17" s="50">
        <v>78</v>
      </c>
      <c r="AC17" s="397">
        <f t="shared" si="8"/>
        <v>77</v>
      </c>
      <c r="AD17" s="50">
        <v>73</v>
      </c>
      <c r="AE17" s="50">
        <v>71</v>
      </c>
      <c r="AF17" s="397">
        <f t="shared" si="9"/>
        <v>72</v>
      </c>
      <c r="AG17" s="49"/>
      <c r="AH17" s="50"/>
      <c r="AI17" s="397" t="str">
        <f t="shared" si="10"/>
        <v/>
      </c>
      <c r="AJ17" s="50"/>
      <c r="AK17" s="50"/>
      <c r="AL17" s="397" t="str">
        <f t="shared" si="11"/>
        <v/>
      </c>
      <c r="AM17" s="396">
        <f t="shared" si="12"/>
        <v>74</v>
      </c>
      <c r="AN17" s="396">
        <f t="shared" si="13"/>
        <v>75.888888888888886</v>
      </c>
      <c r="AO17" s="396">
        <f t="shared" si="14"/>
        <v>674.5</v>
      </c>
      <c r="AP17" s="396">
        <f t="shared" si="15"/>
        <v>74.944444444444443</v>
      </c>
      <c r="AR17" s="35" t="str">
        <f t="shared" si="0"/>
        <v>Sembunyikan</v>
      </c>
    </row>
    <row r="18" spans="2:44">
      <c r="B18" s="7">
        <v>9</v>
      </c>
      <c r="C18" s="7" t="str">
        <f>'Data Siswa'!C12&amp;""</f>
        <v>2892</v>
      </c>
      <c r="D18" s="11" t="str">
        <f>'Data Siswa'!F12&amp;""</f>
        <v/>
      </c>
      <c r="E18" s="434"/>
      <c r="F18" s="50">
        <v>96</v>
      </c>
      <c r="G18" s="50">
        <v>89</v>
      </c>
      <c r="H18" s="397">
        <f t="shared" si="1"/>
        <v>92.5</v>
      </c>
      <c r="I18" s="50">
        <v>91</v>
      </c>
      <c r="J18" s="50">
        <v>93</v>
      </c>
      <c r="K18" s="397">
        <f t="shared" si="2"/>
        <v>92</v>
      </c>
      <c r="L18" s="50">
        <v>87</v>
      </c>
      <c r="M18" s="50">
        <v>89</v>
      </c>
      <c r="N18" s="397">
        <f t="shared" si="3"/>
        <v>88</v>
      </c>
      <c r="O18" s="50">
        <v>86</v>
      </c>
      <c r="P18" s="50">
        <v>89</v>
      </c>
      <c r="Q18" s="397">
        <f t="shared" si="4"/>
        <v>87.5</v>
      </c>
      <c r="R18" s="50">
        <v>84</v>
      </c>
      <c r="S18" s="50">
        <v>88</v>
      </c>
      <c r="T18" s="397">
        <f t="shared" si="5"/>
        <v>86</v>
      </c>
      <c r="U18" s="50">
        <v>85</v>
      </c>
      <c r="V18" s="50">
        <v>86</v>
      </c>
      <c r="W18" s="397">
        <f t="shared" si="6"/>
        <v>85.5</v>
      </c>
      <c r="X18" s="50">
        <v>81</v>
      </c>
      <c r="Y18" s="50">
        <v>85</v>
      </c>
      <c r="Z18" s="397">
        <f t="shared" si="7"/>
        <v>83</v>
      </c>
      <c r="AA18" s="50">
        <v>81</v>
      </c>
      <c r="AB18" s="50">
        <v>88</v>
      </c>
      <c r="AC18" s="397">
        <f t="shared" si="8"/>
        <v>84.5</v>
      </c>
      <c r="AD18" s="50">
        <v>86</v>
      </c>
      <c r="AE18" s="50">
        <v>88</v>
      </c>
      <c r="AF18" s="397">
        <f t="shared" si="9"/>
        <v>87</v>
      </c>
      <c r="AG18" s="49"/>
      <c r="AH18" s="50"/>
      <c r="AI18" s="397" t="str">
        <f t="shared" si="10"/>
        <v/>
      </c>
      <c r="AJ18" s="50"/>
      <c r="AK18" s="50"/>
      <c r="AL18" s="397" t="str">
        <f t="shared" si="11"/>
        <v/>
      </c>
      <c r="AM18" s="396">
        <f t="shared" si="12"/>
        <v>86.333333333333329</v>
      </c>
      <c r="AN18" s="396">
        <f t="shared" si="13"/>
        <v>88.333333333333329</v>
      </c>
      <c r="AO18" s="396">
        <f t="shared" si="14"/>
        <v>786</v>
      </c>
      <c r="AP18" s="396">
        <f t="shared" si="15"/>
        <v>87.333333333333329</v>
      </c>
      <c r="AR18" s="35" t="str">
        <f t="shared" si="0"/>
        <v>Sembunyikan</v>
      </c>
    </row>
    <row r="19" spans="2:44">
      <c r="B19" s="7">
        <v>10</v>
      </c>
      <c r="C19" s="7" t="str">
        <f>'Data Siswa'!C13&amp;""</f>
        <v>2894</v>
      </c>
      <c r="D19" s="11" t="str">
        <f>'Data Siswa'!F13&amp;""</f>
        <v/>
      </c>
      <c r="E19" s="434"/>
      <c r="F19" s="50">
        <v>92</v>
      </c>
      <c r="G19" s="50">
        <v>88</v>
      </c>
      <c r="H19" s="397">
        <f t="shared" si="1"/>
        <v>90</v>
      </c>
      <c r="I19" s="50">
        <v>90</v>
      </c>
      <c r="J19" s="50">
        <v>93</v>
      </c>
      <c r="K19" s="397">
        <f t="shared" si="2"/>
        <v>91.5</v>
      </c>
      <c r="L19" s="50">
        <v>87</v>
      </c>
      <c r="M19" s="50">
        <v>90</v>
      </c>
      <c r="N19" s="397">
        <f t="shared" si="3"/>
        <v>88.5</v>
      </c>
      <c r="O19" s="50">
        <v>78</v>
      </c>
      <c r="P19" s="50">
        <v>85</v>
      </c>
      <c r="Q19" s="397">
        <f t="shared" si="4"/>
        <v>81.5</v>
      </c>
      <c r="R19" s="50">
        <v>80</v>
      </c>
      <c r="S19" s="50">
        <v>84</v>
      </c>
      <c r="T19" s="397">
        <f t="shared" si="5"/>
        <v>82</v>
      </c>
      <c r="U19" s="50">
        <v>82</v>
      </c>
      <c r="V19" s="50">
        <v>82</v>
      </c>
      <c r="W19" s="397">
        <f t="shared" si="6"/>
        <v>82</v>
      </c>
      <c r="X19" s="50">
        <v>82</v>
      </c>
      <c r="Y19" s="50">
        <v>83</v>
      </c>
      <c r="Z19" s="397">
        <f t="shared" si="7"/>
        <v>82.5</v>
      </c>
      <c r="AA19" s="50">
        <v>80</v>
      </c>
      <c r="AB19" s="50">
        <v>89</v>
      </c>
      <c r="AC19" s="397">
        <f t="shared" si="8"/>
        <v>84.5</v>
      </c>
      <c r="AD19" s="50">
        <v>78</v>
      </c>
      <c r="AE19" s="50">
        <v>79</v>
      </c>
      <c r="AF19" s="397">
        <f t="shared" si="9"/>
        <v>78.5</v>
      </c>
      <c r="AG19" s="49"/>
      <c r="AH19" s="50"/>
      <c r="AI19" s="397" t="str">
        <f t="shared" si="10"/>
        <v/>
      </c>
      <c r="AJ19" s="50"/>
      <c r="AK19" s="50"/>
      <c r="AL19" s="397" t="str">
        <f t="shared" si="11"/>
        <v/>
      </c>
      <c r="AM19" s="396">
        <f t="shared" si="12"/>
        <v>83.222222222222229</v>
      </c>
      <c r="AN19" s="396">
        <f t="shared" si="13"/>
        <v>85.888888888888886</v>
      </c>
      <c r="AO19" s="396">
        <f t="shared" si="14"/>
        <v>761</v>
      </c>
      <c r="AP19" s="396">
        <f t="shared" si="15"/>
        <v>84.555555555555557</v>
      </c>
      <c r="AR19" s="35" t="str">
        <f t="shared" si="0"/>
        <v>Sembunyikan</v>
      </c>
    </row>
    <row r="20" spans="2:44">
      <c r="B20" s="7">
        <v>11</v>
      </c>
      <c r="C20" s="7" t="str">
        <f>'Data Siswa'!C14&amp;""</f>
        <v>2895</v>
      </c>
      <c r="D20" s="11" t="str">
        <f>'Data Siswa'!F14&amp;""</f>
        <v/>
      </c>
      <c r="E20" s="434"/>
      <c r="F20" s="50">
        <v>79</v>
      </c>
      <c r="G20" s="50">
        <v>77</v>
      </c>
      <c r="H20" s="397">
        <f t="shared" si="1"/>
        <v>78</v>
      </c>
      <c r="I20" s="50">
        <v>76</v>
      </c>
      <c r="J20" s="50">
        <v>76</v>
      </c>
      <c r="K20" s="397">
        <f t="shared" si="2"/>
        <v>76</v>
      </c>
      <c r="L20" s="50">
        <v>75</v>
      </c>
      <c r="M20" s="50">
        <v>76</v>
      </c>
      <c r="N20" s="397">
        <f t="shared" si="3"/>
        <v>75.5</v>
      </c>
      <c r="O20" s="50">
        <v>68</v>
      </c>
      <c r="P20" s="50">
        <v>72</v>
      </c>
      <c r="Q20" s="397">
        <f t="shared" si="4"/>
        <v>70</v>
      </c>
      <c r="R20" s="50">
        <v>71</v>
      </c>
      <c r="S20" s="50">
        <v>78</v>
      </c>
      <c r="T20" s="397">
        <f t="shared" si="5"/>
        <v>74.5</v>
      </c>
      <c r="U20" s="50">
        <v>72</v>
      </c>
      <c r="V20" s="50">
        <v>82</v>
      </c>
      <c r="W20" s="397">
        <f t="shared" si="6"/>
        <v>77</v>
      </c>
      <c r="X20" s="50">
        <v>74</v>
      </c>
      <c r="Y20" s="50">
        <v>74</v>
      </c>
      <c r="Z20" s="397">
        <f t="shared" si="7"/>
        <v>74</v>
      </c>
      <c r="AA20" s="50">
        <v>76</v>
      </c>
      <c r="AB20" s="50">
        <v>78</v>
      </c>
      <c r="AC20" s="397">
        <f t="shared" si="8"/>
        <v>77</v>
      </c>
      <c r="AD20" s="50">
        <v>72</v>
      </c>
      <c r="AE20" s="50">
        <v>71</v>
      </c>
      <c r="AF20" s="397">
        <f t="shared" si="9"/>
        <v>71.5</v>
      </c>
      <c r="AG20" s="49"/>
      <c r="AH20" s="50"/>
      <c r="AI20" s="397" t="str">
        <f t="shared" si="10"/>
        <v/>
      </c>
      <c r="AJ20" s="50"/>
      <c r="AK20" s="50"/>
      <c r="AL20" s="397" t="str">
        <f t="shared" si="11"/>
        <v/>
      </c>
      <c r="AM20" s="396">
        <f t="shared" si="12"/>
        <v>73.666666666666671</v>
      </c>
      <c r="AN20" s="396">
        <f t="shared" si="13"/>
        <v>76</v>
      </c>
      <c r="AO20" s="396">
        <f t="shared" si="14"/>
        <v>673.5</v>
      </c>
      <c r="AP20" s="396">
        <f t="shared" si="15"/>
        <v>74.833333333333329</v>
      </c>
      <c r="AR20" s="35" t="str">
        <f t="shared" si="0"/>
        <v>Sembunyikan</v>
      </c>
    </row>
    <row r="21" spans="2:44">
      <c r="B21" s="7">
        <v>12</v>
      </c>
      <c r="C21" s="7" t="str">
        <f>'Data Siswa'!C15&amp;""</f>
        <v>2896</v>
      </c>
      <c r="D21" s="11" t="str">
        <f>'Data Siswa'!F15&amp;""</f>
        <v/>
      </c>
      <c r="E21" s="434"/>
      <c r="F21" s="50">
        <v>95</v>
      </c>
      <c r="G21" s="50">
        <v>85</v>
      </c>
      <c r="H21" s="397">
        <f t="shared" si="1"/>
        <v>90</v>
      </c>
      <c r="I21" s="50">
        <v>90</v>
      </c>
      <c r="J21" s="50">
        <v>94</v>
      </c>
      <c r="K21" s="397">
        <f t="shared" si="2"/>
        <v>92</v>
      </c>
      <c r="L21" s="50">
        <v>83</v>
      </c>
      <c r="M21" s="50">
        <v>86</v>
      </c>
      <c r="N21" s="397">
        <f t="shared" si="3"/>
        <v>84.5</v>
      </c>
      <c r="O21" s="50">
        <v>74</v>
      </c>
      <c r="P21" s="50">
        <v>85</v>
      </c>
      <c r="Q21" s="397">
        <f t="shared" si="4"/>
        <v>79.5</v>
      </c>
      <c r="R21" s="50">
        <v>86</v>
      </c>
      <c r="S21" s="50">
        <v>87</v>
      </c>
      <c r="T21" s="397">
        <f t="shared" si="5"/>
        <v>86.5</v>
      </c>
      <c r="U21" s="50">
        <v>81</v>
      </c>
      <c r="V21" s="50">
        <v>85</v>
      </c>
      <c r="W21" s="397">
        <f t="shared" si="6"/>
        <v>83</v>
      </c>
      <c r="X21" s="50">
        <v>83</v>
      </c>
      <c r="Y21" s="50">
        <v>88</v>
      </c>
      <c r="Z21" s="397">
        <f t="shared" si="7"/>
        <v>85.5</v>
      </c>
      <c r="AA21" s="50">
        <v>78</v>
      </c>
      <c r="AB21" s="50">
        <v>87</v>
      </c>
      <c r="AC21" s="397">
        <f t="shared" si="8"/>
        <v>82.5</v>
      </c>
      <c r="AD21" s="50">
        <v>78</v>
      </c>
      <c r="AE21" s="50">
        <v>76</v>
      </c>
      <c r="AF21" s="397">
        <f t="shared" si="9"/>
        <v>77</v>
      </c>
      <c r="AG21" s="49"/>
      <c r="AH21" s="50"/>
      <c r="AI21" s="397" t="str">
        <f t="shared" si="10"/>
        <v/>
      </c>
      <c r="AJ21" s="50"/>
      <c r="AK21" s="50"/>
      <c r="AL21" s="397" t="str">
        <f t="shared" si="11"/>
        <v/>
      </c>
      <c r="AM21" s="396">
        <f t="shared" si="12"/>
        <v>83.111111111111114</v>
      </c>
      <c r="AN21" s="396">
        <f t="shared" si="13"/>
        <v>85.888888888888886</v>
      </c>
      <c r="AO21" s="396">
        <f t="shared" si="14"/>
        <v>760.5</v>
      </c>
      <c r="AP21" s="396">
        <f t="shared" si="15"/>
        <v>84.5</v>
      </c>
      <c r="AR21" s="35" t="str">
        <f t="shared" si="0"/>
        <v>Sembunyikan</v>
      </c>
    </row>
    <row r="22" spans="2:44">
      <c r="B22" s="7">
        <v>13</v>
      </c>
      <c r="C22" s="7" t="str">
        <f>'Data Siswa'!C16&amp;""</f>
        <v>2897</v>
      </c>
      <c r="D22" s="11" t="str">
        <f>'Data Siswa'!F16&amp;""</f>
        <v/>
      </c>
      <c r="E22" s="434"/>
      <c r="F22" s="50">
        <v>80</v>
      </c>
      <c r="G22" s="50">
        <v>81</v>
      </c>
      <c r="H22" s="397">
        <f t="shared" si="1"/>
        <v>80.5</v>
      </c>
      <c r="I22" s="50">
        <v>76</v>
      </c>
      <c r="J22" s="50">
        <v>75</v>
      </c>
      <c r="K22" s="397">
        <f t="shared" si="2"/>
        <v>75.5</v>
      </c>
      <c r="L22" s="50">
        <v>76</v>
      </c>
      <c r="M22" s="50">
        <v>77</v>
      </c>
      <c r="N22" s="397">
        <f t="shared" si="3"/>
        <v>76.5</v>
      </c>
      <c r="O22" s="50">
        <v>69</v>
      </c>
      <c r="P22" s="50">
        <v>75</v>
      </c>
      <c r="Q22" s="397">
        <f t="shared" si="4"/>
        <v>72</v>
      </c>
      <c r="R22" s="50">
        <v>71</v>
      </c>
      <c r="S22" s="50">
        <v>79</v>
      </c>
      <c r="T22" s="397">
        <f t="shared" si="5"/>
        <v>75</v>
      </c>
      <c r="U22" s="50">
        <v>72</v>
      </c>
      <c r="V22" s="50">
        <v>78</v>
      </c>
      <c r="W22" s="397">
        <f t="shared" si="6"/>
        <v>75</v>
      </c>
      <c r="X22" s="50">
        <v>75</v>
      </c>
      <c r="Y22" s="50">
        <v>73</v>
      </c>
      <c r="Z22" s="397">
        <f t="shared" si="7"/>
        <v>74</v>
      </c>
      <c r="AA22" s="50">
        <v>79</v>
      </c>
      <c r="AB22" s="50">
        <v>79</v>
      </c>
      <c r="AC22" s="397">
        <f t="shared" si="8"/>
        <v>79</v>
      </c>
      <c r="AD22" s="50">
        <v>72</v>
      </c>
      <c r="AE22" s="50">
        <v>71</v>
      </c>
      <c r="AF22" s="397">
        <f t="shared" si="9"/>
        <v>71.5</v>
      </c>
      <c r="AG22" s="49"/>
      <c r="AH22" s="50"/>
      <c r="AI22" s="397" t="str">
        <f t="shared" si="10"/>
        <v/>
      </c>
      <c r="AJ22" s="50"/>
      <c r="AK22" s="50"/>
      <c r="AL22" s="397" t="str">
        <f t="shared" si="11"/>
        <v/>
      </c>
      <c r="AM22" s="396">
        <f t="shared" si="12"/>
        <v>74.444444444444443</v>
      </c>
      <c r="AN22" s="396">
        <f t="shared" si="13"/>
        <v>76.444444444444443</v>
      </c>
      <c r="AO22" s="396">
        <f t="shared" si="14"/>
        <v>679</v>
      </c>
      <c r="AP22" s="396">
        <f t="shared" si="15"/>
        <v>75.444444444444443</v>
      </c>
      <c r="AR22" s="35" t="str">
        <f t="shared" si="0"/>
        <v>Sembunyikan</v>
      </c>
    </row>
    <row r="23" spans="2:44">
      <c r="B23" s="7">
        <v>14</v>
      </c>
      <c r="C23" s="7" t="str">
        <f>'Data Siswa'!C17&amp;""</f>
        <v>2898</v>
      </c>
      <c r="D23" s="11" t="str">
        <f>'Data Siswa'!F17&amp;""</f>
        <v/>
      </c>
      <c r="E23" s="434"/>
      <c r="F23" s="50">
        <v>82</v>
      </c>
      <c r="G23" s="50">
        <v>81</v>
      </c>
      <c r="H23" s="397">
        <f t="shared" si="1"/>
        <v>81.5</v>
      </c>
      <c r="I23" s="50">
        <v>76</v>
      </c>
      <c r="J23" s="50">
        <v>75</v>
      </c>
      <c r="K23" s="397">
        <f t="shared" si="2"/>
        <v>75.5</v>
      </c>
      <c r="L23" s="50">
        <v>77</v>
      </c>
      <c r="M23" s="50">
        <v>77</v>
      </c>
      <c r="N23" s="397">
        <f t="shared" si="3"/>
        <v>77</v>
      </c>
      <c r="O23" s="50">
        <v>69</v>
      </c>
      <c r="P23" s="50">
        <v>78</v>
      </c>
      <c r="Q23" s="397">
        <f t="shared" si="4"/>
        <v>73.5</v>
      </c>
      <c r="R23" s="50">
        <v>71</v>
      </c>
      <c r="S23" s="50">
        <v>78</v>
      </c>
      <c r="T23" s="397">
        <f t="shared" si="5"/>
        <v>74.5</v>
      </c>
      <c r="U23" s="50">
        <v>72</v>
      </c>
      <c r="V23" s="50">
        <v>80</v>
      </c>
      <c r="W23" s="397">
        <f t="shared" si="6"/>
        <v>76</v>
      </c>
      <c r="X23" s="50">
        <v>76</v>
      </c>
      <c r="Y23" s="50">
        <v>73</v>
      </c>
      <c r="Z23" s="397">
        <f t="shared" si="7"/>
        <v>74.5</v>
      </c>
      <c r="AA23" s="50">
        <v>77</v>
      </c>
      <c r="AB23" s="50">
        <v>80</v>
      </c>
      <c r="AC23" s="397">
        <f t="shared" si="8"/>
        <v>78.5</v>
      </c>
      <c r="AD23" s="50">
        <v>73</v>
      </c>
      <c r="AE23" s="50">
        <v>71</v>
      </c>
      <c r="AF23" s="397">
        <f t="shared" si="9"/>
        <v>72</v>
      </c>
      <c r="AG23" s="49"/>
      <c r="AH23" s="50"/>
      <c r="AI23" s="397" t="str">
        <f t="shared" si="10"/>
        <v/>
      </c>
      <c r="AJ23" s="50"/>
      <c r="AK23" s="50"/>
      <c r="AL23" s="397" t="str">
        <f t="shared" si="11"/>
        <v/>
      </c>
      <c r="AM23" s="396">
        <f t="shared" si="12"/>
        <v>74.777777777777771</v>
      </c>
      <c r="AN23" s="396">
        <f t="shared" si="13"/>
        <v>77</v>
      </c>
      <c r="AO23" s="396">
        <f t="shared" si="14"/>
        <v>683</v>
      </c>
      <c r="AP23" s="396">
        <f t="shared" si="15"/>
        <v>75.888888888888886</v>
      </c>
      <c r="AR23" s="35" t="str">
        <f t="shared" si="0"/>
        <v>Sembunyikan</v>
      </c>
    </row>
    <row r="24" spans="2:44">
      <c r="B24" s="7">
        <v>15</v>
      </c>
      <c r="C24" s="7" t="str">
        <f>'Data Siswa'!C18&amp;""</f>
        <v>2900</v>
      </c>
      <c r="D24" s="11" t="str">
        <f>'Data Siswa'!F18&amp;""</f>
        <v/>
      </c>
      <c r="E24" s="434"/>
      <c r="F24" s="50">
        <v>84</v>
      </c>
      <c r="G24" s="50">
        <v>77</v>
      </c>
      <c r="H24" s="397">
        <f t="shared" si="1"/>
        <v>80.5</v>
      </c>
      <c r="I24" s="50">
        <v>79</v>
      </c>
      <c r="J24" s="50">
        <v>75</v>
      </c>
      <c r="K24" s="397">
        <f t="shared" si="2"/>
        <v>77</v>
      </c>
      <c r="L24" s="50">
        <v>74</v>
      </c>
      <c r="M24" s="50">
        <v>77</v>
      </c>
      <c r="N24" s="397">
        <f t="shared" si="3"/>
        <v>75.5</v>
      </c>
      <c r="O24" s="50">
        <v>70</v>
      </c>
      <c r="P24" s="50">
        <v>78</v>
      </c>
      <c r="Q24" s="397">
        <f t="shared" si="4"/>
        <v>74</v>
      </c>
      <c r="R24" s="50">
        <v>71</v>
      </c>
      <c r="S24" s="50">
        <v>81</v>
      </c>
      <c r="T24" s="397">
        <f t="shared" si="5"/>
        <v>76</v>
      </c>
      <c r="U24" s="50">
        <v>72</v>
      </c>
      <c r="V24" s="50">
        <v>79</v>
      </c>
      <c r="W24" s="397">
        <f t="shared" si="6"/>
        <v>75.5</v>
      </c>
      <c r="X24" s="50">
        <v>76</v>
      </c>
      <c r="Y24" s="50">
        <v>73</v>
      </c>
      <c r="Z24" s="397">
        <f t="shared" si="7"/>
        <v>74.5</v>
      </c>
      <c r="AA24" s="50">
        <v>76</v>
      </c>
      <c r="AB24" s="50">
        <v>79</v>
      </c>
      <c r="AC24" s="397">
        <f t="shared" si="8"/>
        <v>77.5</v>
      </c>
      <c r="AD24" s="50">
        <v>74</v>
      </c>
      <c r="AE24" s="50">
        <v>71</v>
      </c>
      <c r="AF24" s="397">
        <f t="shared" si="9"/>
        <v>72.5</v>
      </c>
      <c r="AG24" s="49"/>
      <c r="AH24" s="50"/>
      <c r="AI24" s="397" t="str">
        <f t="shared" si="10"/>
        <v/>
      </c>
      <c r="AJ24" s="50"/>
      <c r="AK24" s="50"/>
      <c r="AL24" s="397" t="str">
        <f t="shared" si="11"/>
        <v/>
      </c>
      <c r="AM24" s="396">
        <f t="shared" si="12"/>
        <v>75.111111111111114</v>
      </c>
      <c r="AN24" s="396">
        <f t="shared" si="13"/>
        <v>76.666666666666671</v>
      </c>
      <c r="AO24" s="396">
        <f t="shared" si="14"/>
        <v>683</v>
      </c>
      <c r="AP24" s="396">
        <f t="shared" si="15"/>
        <v>75.888888888888886</v>
      </c>
      <c r="AR24" s="35" t="str">
        <f t="shared" si="0"/>
        <v>Sembunyikan</v>
      </c>
    </row>
    <row r="25" spans="2:44">
      <c r="B25" s="7">
        <v>16</v>
      </c>
      <c r="C25" s="7" t="str">
        <f>'Data Siswa'!C19&amp;""</f>
        <v>2899</v>
      </c>
      <c r="D25" s="11" t="str">
        <f>'Data Siswa'!F19&amp;""</f>
        <v/>
      </c>
      <c r="E25" s="434"/>
      <c r="F25" s="50">
        <v>87</v>
      </c>
      <c r="G25" s="50">
        <v>82</v>
      </c>
      <c r="H25" s="397">
        <f t="shared" si="1"/>
        <v>84.5</v>
      </c>
      <c r="I25" s="50">
        <v>77</v>
      </c>
      <c r="J25" s="50">
        <v>79</v>
      </c>
      <c r="K25" s="397">
        <f t="shared" si="2"/>
        <v>78</v>
      </c>
      <c r="L25" s="50">
        <v>75</v>
      </c>
      <c r="M25" s="50">
        <v>78</v>
      </c>
      <c r="N25" s="397">
        <f t="shared" si="3"/>
        <v>76.5</v>
      </c>
      <c r="O25" s="50">
        <v>77</v>
      </c>
      <c r="P25" s="50">
        <v>80</v>
      </c>
      <c r="Q25" s="397">
        <f t="shared" si="4"/>
        <v>78.5</v>
      </c>
      <c r="R25" s="50">
        <v>72</v>
      </c>
      <c r="S25" s="50">
        <v>82</v>
      </c>
      <c r="T25" s="397">
        <f t="shared" si="5"/>
        <v>77</v>
      </c>
      <c r="U25" s="50">
        <v>74</v>
      </c>
      <c r="V25" s="50">
        <v>81</v>
      </c>
      <c r="W25" s="397">
        <f t="shared" si="6"/>
        <v>77.5</v>
      </c>
      <c r="X25" s="50">
        <v>74</v>
      </c>
      <c r="Y25" s="50">
        <v>74</v>
      </c>
      <c r="Z25" s="397">
        <f t="shared" si="7"/>
        <v>74</v>
      </c>
      <c r="AA25" s="50">
        <v>77</v>
      </c>
      <c r="AB25" s="50">
        <v>80</v>
      </c>
      <c r="AC25" s="397">
        <f t="shared" si="8"/>
        <v>78.5</v>
      </c>
      <c r="AD25" s="50">
        <v>75</v>
      </c>
      <c r="AE25" s="50">
        <v>71</v>
      </c>
      <c r="AF25" s="397">
        <f t="shared" si="9"/>
        <v>73</v>
      </c>
      <c r="AG25" s="49"/>
      <c r="AH25" s="50"/>
      <c r="AI25" s="397" t="str">
        <f t="shared" si="10"/>
        <v/>
      </c>
      <c r="AJ25" s="50"/>
      <c r="AK25" s="50"/>
      <c r="AL25" s="397" t="str">
        <f t="shared" si="11"/>
        <v/>
      </c>
      <c r="AM25" s="396">
        <f t="shared" si="12"/>
        <v>76.444444444444443</v>
      </c>
      <c r="AN25" s="396">
        <f t="shared" si="13"/>
        <v>78.555555555555557</v>
      </c>
      <c r="AO25" s="396">
        <f t="shared" si="14"/>
        <v>697.5</v>
      </c>
      <c r="AP25" s="396">
        <f t="shared" si="15"/>
        <v>77.5</v>
      </c>
      <c r="AR25" s="35" t="str">
        <f t="shared" si="0"/>
        <v>Sembunyikan</v>
      </c>
    </row>
    <row r="26" spans="2:44">
      <c r="B26" s="7">
        <v>17</v>
      </c>
      <c r="C26" s="7" t="str">
        <f>'Data Siswa'!C20&amp;""</f>
        <v>2901</v>
      </c>
      <c r="D26" s="11" t="str">
        <f>'Data Siswa'!F20&amp;""</f>
        <v/>
      </c>
      <c r="E26" s="434"/>
      <c r="F26" s="50">
        <v>93</v>
      </c>
      <c r="G26" s="50">
        <v>83</v>
      </c>
      <c r="H26" s="397">
        <f t="shared" si="1"/>
        <v>88</v>
      </c>
      <c r="I26" s="50">
        <v>83</v>
      </c>
      <c r="J26" s="50">
        <v>85</v>
      </c>
      <c r="K26" s="397">
        <f t="shared" si="2"/>
        <v>84</v>
      </c>
      <c r="L26" s="50">
        <v>83</v>
      </c>
      <c r="M26" s="50">
        <v>83</v>
      </c>
      <c r="N26" s="397">
        <f t="shared" si="3"/>
        <v>83</v>
      </c>
      <c r="O26" s="50">
        <v>79</v>
      </c>
      <c r="P26" s="50">
        <v>80</v>
      </c>
      <c r="Q26" s="397">
        <f t="shared" si="4"/>
        <v>79.5</v>
      </c>
      <c r="R26" s="50">
        <v>80</v>
      </c>
      <c r="S26" s="50">
        <v>85</v>
      </c>
      <c r="T26" s="397">
        <f t="shared" si="5"/>
        <v>82.5</v>
      </c>
      <c r="U26" s="50">
        <v>75</v>
      </c>
      <c r="V26" s="50">
        <v>79</v>
      </c>
      <c r="W26" s="397">
        <f t="shared" si="6"/>
        <v>77</v>
      </c>
      <c r="X26" s="50">
        <v>79</v>
      </c>
      <c r="Y26" s="50">
        <v>77</v>
      </c>
      <c r="Z26" s="397">
        <f t="shared" si="7"/>
        <v>78</v>
      </c>
      <c r="AA26" s="50">
        <v>78</v>
      </c>
      <c r="AB26" s="50">
        <v>78</v>
      </c>
      <c r="AC26" s="397">
        <f t="shared" si="8"/>
        <v>78</v>
      </c>
      <c r="AD26" s="50">
        <v>81</v>
      </c>
      <c r="AE26" s="50">
        <v>80</v>
      </c>
      <c r="AF26" s="397">
        <f t="shared" si="9"/>
        <v>80.5</v>
      </c>
      <c r="AG26" s="49"/>
      <c r="AH26" s="50"/>
      <c r="AI26" s="397" t="str">
        <f t="shared" si="10"/>
        <v/>
      </c>
      <c r="AJ26" s="50"/>
      <c r="AK26" s="50"/>
      <c r="AL26" s="397" t="str">
        <f t="shared" si="11"/>
        <v/>
      </c>
      <c r="AM26" s="396">
        <f t="shared" si="12"/>
        <v>81.222222222222229</v>
      </c>
      <c r="AN26" s="396">
        <f t="shared" si="13"/>
        <v>81.111111111111114</v>
      </c>
      <c r="AO26" s="396">
        <f t="shared" si="14"/>
        <v>730.5</v>
      </c>
      <c r="AP26" s="396">
        <f t="shared" si="15"/>
        <v>81.166666666666671</v>
      </c>
      <c r="AR26" s="35" t="str">
        <f t="shared" si="0"/>
        <v>Sembunyikan</v>
      </c>
    </row>
    <row r="27" spans="2:44">
      <c r="B27" s="7">
        <v>18</v>
      </c>
      <c r="C27" s="7" t="str">
        <f>'Data Siswa'!C21&amp;""</f>
        <v>2902</v>
      </c>
      <c r="D27" s="11" t="str">
        <f>'Data Siswa'!F21&amp;""</f>
        <v/>
      </c>
      <c r="E27" s="434"/>
      <c r="F27" s="50">
        <v>94</v>
      </c>
      <c r="G27" s="50">
        <v>90</v>
      </c>
      <c r="H27" s="397">
        <f t="shared" si="1"/>
        <v>92</v>
      </c>
      <c r="I27" s="50">
        <v>88</v>
      </c>
      <c r="J27" s="50">
        <v>90</v>
      </c>
      <c r="K27" s="397">
        <f t="shared" si="2"/>
        <v>89</v>
      </c>
      <c r="L27" s="50">
        <v>78</v>
      </c>
      <c r="M27" s="50">
        <v>86</v>
      </c>
      <c r="N27" s="397">
        <f t="shared" si="3"/>
        <v>82</v>
      </c>
      <c r="O27" s="50">
        <v>77</v>
      </c>
      <c r="P27" s="50">
        <v>85</v>
      </c>
      <c r="Q27" s="397">
        <f t="shared" si="4"/>
        <v>81</v>
      </c>
      <c r="R27" s="50">
        <v>78</v>
      </c>
      <c r="S27" s="50">
        <v>83</v>
      </c>
      <c r="T27" s="397">
        <f t="shared" si="5"/>
        <v>80.5</v>
      </c>
      <c r="U27" s="50">
        <v>77</v>
      </c>
      <c r="V27" s="50">
        <v>84</v>
      </c>
      <c r="W27" s="397">
        <f t="shared" si="6"/>
        <v>80.5</v>
      </c>
      <c r="X27" s="50">
        <v>78</v>
      </c>
      <c r="Y27" s="50">
        <v>87</v>
      </c>
      <c r="Z27" s="397">
        <f t="shared" si="7"/>
        <v>82.5</v>
      </c>
      <c r="AA27" s="50">
        <v>79</v>
      </c>
      <c r="AB27" s="50">
        <v>88</v>
      </c>
      <c r="AC27" s="397">
        <f t="shared" si="8"/>
        <v>83.5</v>
      </c>
      <c r="AD27" s="50">
        <v>79</v>
      </c>
      <c r="AE27" s="50">
        <v>81</v>
      </c>
      <c r="AF27" s="397">
        <f t="shared" si="9"/>
        <v>80</v>
      </c>
      <c r="AG27" s="49"/>
      <c r="AH27" s="50"/>
      <c r="AI27" s="397" t="str">
        <f t="shared" si="10"/>
        <v/>
      </c>
      <c r="AJ27" s="50"/>
      <c r="AK27" s="50"/>
      <c r="AL27" s="397" t="str">
        <f t="shared" si="11"/>
        <v/>
      </c>
      <c r="AM27" s="396">
        <f t="shared" si="12"/>
        <v>80.888888888888886</v>
      </c>
      <c r="AN27" s="396">
        <f t="shared" si="13"/>
        <v>86</v>
      </c>
      <c r="AO27" s="396">
        <f t="shared" si="14"/>
        <v>751</v>
      </c>
      <c r="AP27" s="396">
        <f t="shared" si="15"/>
        <v>83.444444444444443</v>
      </c>
      <c r="AR27" s="35" t="str">
        <f t="shared" si="0"/>
        <v>Sembunyikan</v>
      </c>
    </row>
    <row r="28" spans="2:44">
      <c r="B28" s="7">
        <v>19</v>
      </c>
      <c r="C28" s="7" t="str">
        <f>'Data Siswa'!C22&amp;""</f>
        <v>2904</v>
      </c>
      <c r="D28" s="11" t="str">
        <f>'Data Siswa'!F22&amp;""</f>
        <v/>
      </c>
      <c r="E28" s="434"/>
      <c r="F28" s="50">
        <v>88</v>
      </c>
      <c r="G28" s="50">
        <v>84</v>
      </c>
      <c r="H28" s="397">
        <f t="shared" si="1"/>
        <v>86</v>
      </c>
      <c r="I28" s="50">
        <v>85</v>
      </c>
      <c r="J28" s="50">
        <v>91</v>
      </c>
      <c r="K28" s="397">
        <f t="shared" si="2"/>
        <v>88</v>
      </c>
      <c r="L28" s="50">
        <v>80</v>
      </c>
      <c r="M28" s="50">
        <v>83</v>
      </c>
      <c r="N28" s="397">
        <f t="shared" si="3"/>
        <v>81.5</v>
      </c>
      <c r="O28" s="50">
        <v>78</v>
      </c>
      <c r="P28" s="50">
        <v>79</v>
      </c>
      <c r="Q28" s="397">
        <f t="shared" si="4"/>
        <v>78.5</v>
      </c>
      <c r="R28" s="50">
        <v>74</v>
      </c>
      <c r="S28" s="50">
        <v>81</v>
      </c>
      <c r="T28" s="397">
        <f t="shared" si="5"/>
        <v>77.5</v>
      </c>
      <c r="U28" s="50">
        <v>79</v>
      </c>
      <c r="V28" s="50">
        <v>82</v>
      </c>
      <c r="W28" s="397">
        <f t="shared" si="6"/>
        <v>80.5</v>
      </c>
      <c r="X28" s="50">
        <v>76</v>
      </c>
      <c r="Y28" s="50">
        <v>82</v>
      </c>
      <c r="Z28" s="397">
        <f t="shared" si="7"/>
        <v>79</v>
      </c>
      <c r="AA28" s="50">
        <v>79</v>
      </c>
      <c r="AB28" s="50">
        <v>86</v>
      </c>
      <c r="AC28" s="397">
        <f t="shared" si="8"/>
        <v>82.5</v>
      </c>
      <c r="AD28" s="50">
        <v>74</v>
      </c>
      <c r="AE28" s="50">
        <v>77</v>
      </c>
      <c r="AF28" s="397">
        <f t="shared" si="9"/>
        <v>75.5</v>
      </c>
      <c r="AG28" s="49"/>
      <c r="AH28" s="50"/>
      <c r="AI28" s="397" t="str">
        <f t="shared" si="10"/>
        <v/>
      </c>
      <c r="AJ28" s="50"/>
      <c r="AK28" s="50"/>
      <c r="AL28" s="397" t="str">
        <f t="shared" si="11"/>
        <v/>
      </c>
      <c r="AM28" s="396">
        <f t="shared" si="12"/>
        <v>79.222222222222229</v>
      </c>
      <c r="AN28" s="396">
        <f t="shared" si="13"/>
        <v>82.777777777777771</v>
      </c>
      <c r="AO28" s="396">
        <f t="shared" si="14"/>
        <v>729</v>
      </c>
      <c r="AP28" s="396">
        <f t="shared" si="15"/>
        <v>81</v>
      </c>
      <c r="AR28" s="35" t="str">
        <f t="shared" si="0"/>
        <v>Sembunyikan</v>
      </c>
    </row>
    <row r="29" spans="2:44">
      <c r="B29" s="7">
        <v>20</v>
      </c>
      <c r="C29" s="7" t="str">
        <f>'Data Siswa'!C23&amp;""</f>
        <v>1111</v>
      </c>
      <c r="D29" s="11" t="str">
        <f>'Data Siswa'!F23&amp;""</f>
        <v/>
      </c>
      <c r="E29" s="434"/>
      <c r="F29" s="50">
        <v>87</v>
      </c>
      <c r="G29" s="50">
        <v>89</v>
      </c>
      <c r="H29" s="397">
        <f t="shared" si="1"/>
        <v>88</v>
      </c>
      <c r="I29" s="50">
        <v>93</v>
      </c>
      <c r="J29" s="50">
        <v>83</v>
      </c>
      <c r="K29" s="397">
        <f t="shared" si="2"/>
        <v>88</v>
      </c>
      <c r="L29" s="50">
        <v>96</v>
      </c>
      <c r="M29" s="50">
        <v>86</v>
      </c>
      <c r="N29" s="397">
        <f t="shared" si="3"/>
        <v>91</v>
      </c>
      <c r="O29" s="50">
        <v>75</v>
      </c>
      <c r="P29" s="50">
        <v>82</v>
      </c>
      <c r="Q29" s="397">
        <f t="shared" si="4"/>
        <v>78.5</v>
      </c>
      <c r="R29" s="50">
        <v>77</v>
      </c>
      <c r="S29" s="50">
        <v>83</v>
      </c>
      <c r="T29" s="397">
        <f t="shared" si="5"/>
        <v>80</v>
      </c>
      <c r="U29" s="50">
        <v>85</v>
      </c>
      <c r="V29" s="50">
        <v>79</v>
      </c>
      <c r="W29" s="397">
        <f t="shared" si="6"/>
        <v>82</v>
      </c>
      <c r="X29" s="50">
        <v>89</v>
      </c>
      <c r="Y29" s="50">
        <v>86</v>
      </c>
      <c r="Z29" s="397">
        <f t="shared" si="7"/>
        <v>87.5</v>
      </c>
      <c r="AA29" s="50">
        <v>81</v>
      </c>
      <c r="AB29" s="50">
        <v>80</v>
      </c>
      <c r="AC29" s="397">
        <f t="shared" si="8"/>
        <v>80.5</v>
      </c>
      <c r="AD29" s="50">
        <v>81</v>
      </c>
      <c r="AE29" s="50">
        <v>84</v>
      </c>
      <c r="AF29" s="397">
        <f t="shared" si="9"/>
        <v>82.5</v>
      </c>
      <c r="AG29" s="49"/>
      <c r="AH29" s="50"/>
      <c r="AI29" s="397" t="str">
        <f t="shared" si="10"/>
        <v/>
      </c>
      <c r="AJ29" s="50"/>
      <c r="AK29" s="50"/>
      <c r="AL29" s="397" t="str">
        <f t="shared" si="11"/>
        <v/>
      </c>
      <c r="AM29" s="396">
        <f t="shared" si="12"/>
        <v>84.888888888888886</v>
      </c>
      <c r="AN29" s="396">
        <f t="shared" si="13"/>
        <v>83.555555555555557</v>
      </c>
      <c r="AO29" s="396">
        <f t="shared" si="14"/>
        <v>758</v>
      </c>
      <c r="AP29" s="396">
        <f t="shared" si="15"/>
        <v>84.222222222222229</v>
      </c>
      <c r="AR29" s="35" t="str">
        <f t="shared" si="0"/>
        <v>Sembunyikan</v>
      </c>
    </row>
    <row r="30" spans="2:44">
      <c r="B30" s="7">
        <v>21</v>
      </c>
      <c r="C30" s="7" t="str">
        <f>'Data Siswa'!C24&amp;""</f>
        <v>2906</v>
      </c>
      <c r="D30" s="11" t="str">
        <f>'Data Siswa'!F24&amp;""</f>
        <v/>
      </c>
      <c r="E30" s="434"/>
      <c r="F30" s="50">
        <v>78</v>
      </c>
      <c r="G30" s="50">
        <v>79</v>
      </c>
      <c r="H30" s="397">
        <f t="shared" si="1"/>
        <v>78.5</v>
      </c>
      <c r="I30" s="50">
        <v>76</v>
      </c>
      <c r="J30" s="50">
        <v>75</v>
      </c>
      <c r="K30" s="397">
        <f t="shared" si="2"/>
        <v>75.5</v>
      </c>
      <c r="L30" s="50">
        <v>77</v>
      </c>
      <c r="M30" s="50">
        <v>82</v>
      </c>
      <c r="N30" s="397">
        <f t="shared" si="3"/>
        <v>79.5</v>
      </c>
      <c r="O30" s="50">
        <v>68</v>
      </c>
      <c r="P30" s="50">
        <v>73</v>
      </c>
      <c r="Q30" s="397">
        <f t="shared" si="4"/>
        <v>70.5</v>
      </c>
      <c r="R30" s="50">
        <v>72</v>
      </c>
      <c r="S30" s="50">
        <v>80</v>
      </c>
      <c r="T30" s="397">
        <f t="shared" si="5"/>
        <v>76</v>
      </c>
      <c r="U30" s="50">
        <v>74</v>
      </c>
      <c r="V30" s="50">
        <v>79</v>
      </c>
      <c r="W30" s="397">
        <f t="shared" si="6"/>
        <v>76.5</v>
      </c>
      <c r="X30" s="50">
        <v>74</v>
      </c>
      <c r="Y30" s="50">
        <v>79</v>
      </c>
      <c r="Z30" s="397">
        <f t="shared" si="7"/>
        <v>76.5</v>
      </c>
      <c r="AA30" s="50">
        <v>76</v>
      </c>
      <c r="AB30" s="50">
        <v>80</v>
      </c>
      <c r="AC30" s="397">
        <f t="shared" si="8"/>
        <v>78</v>
      </c>
      <c r="AD30" s="50">
        <v>73</v>
      </c>
      <c r="AE30" s="50">
        <v>74</v>
      </c>
      <c r="AF30" s="397">
        <f t="shared" si="9"/>
        <v>73.5</v>
      </c>
      <c r="AG30" s="49"/>
      <c r="AH30" s="50"/>
      <c r="AI30" s="397" t="str">
        <f t="shared" si="10"/>
        <v/>
      </c>
      <c r="AJ30" s="50"/>
      <c r="AK30" s="50"/>
      <c r="AL30" s="397" t="str">
        <f t="shared" si="11"/>
        <v/>
      </c>
      <c r="AM30" s="396">
        <f t="shared" si="12"/>
        <v>74.222222222222229</v>
      </c>
      <c r="AN30" s="396">
        <f t="shared" si="13"/>
        <v>77.888888888888886</v>
      </c>
      <c r="AO30" s="396">
        <f t="shared" si="14"/>
        <v>684.5</v>
      </c>
      <c r="AP30" s="396">
        <f t="shared" si="15"/>
        <v>76.055555555555557</v>
      </c>
      <c r="AR30" s="35" t="str">
        <f t="shared" si="0"/>
        <v>Sembunyikan</v>
      </c>
    </row>
    <row r="31" spans="2:44">
      <c r="B31" s="7">
        <v>22</v>
      </c>
      <c r="C31" s="7" t="str">
        <f>'Data Siswa'!C25&amp;""</f>
        <v/>
      </c>
      <c r="D31" s="11" t="str">
        <f>'Data Siswa'!F25&amp;""</f>
        <v/>
      </c>
      <c r="E31" s="434"/>
      <c r="F31" s="50"/>
      <c r="G31" s="50"/>
      <c r="H31" s="397" t="str">
        <f t="shared" si="1"/>
        <v/>
      </c>
      <c r="I31" s="50"/>
      <c r="J31" s="50"/>
      <c r="K31" s="397" t="str">
        <f t="shared" si="2"/>
        <v/>
      </c>
      <c r="L31" s="50"/>
      <c r="M31" s="50"/>
      <c r="N31" s="397" t="str">
        <f t="shared" si="3"/>
        <v/>
      </c>
      <c r="O31" s="50"/>
      <c r="P31" s="50"/>
      <c r="Q31" s="397" t="str">
        <f t="shared" si="4"/>
        <v/>
      </c>
      <c r="R31" s="50"/>
      <c r="S31" s="50"/>
      <c r="T31" s="397" t="str">
        <f t="shared" si="5"/>
        <v/>
      </c>
      <c r="U31" s="50"/>
      <c r="V31" s="50"/>
      <c r="W31" s="397" t="str">
        <f t="shared" si="6"/>
        <v/>
      </c>
      <c r="X31" s="50"/>
      <c r="Y31" s="50"/>
      <c r="Z31" s="397" t="str">
        <f t="shared" si="7"/>
        <v/>
      </c>
      <c r="AA31" s="50"/>
      <c r="AB31" s="50"/>
      <c r="AC31" s="397" t="str">
        <f t="shared" si="8"/>
        <v/>
      </c>
      <c r="AD31" s="50"/>
      <c r="AE31" s="50"/>
      <c r="AF31" s="397" t="str">
        <f t="shared" si="9"/>
        <v/>
      </c>
      <c r="AG31" s="49"/>
      <c r="AH31" s="50"/>
      <c r="AI31" s="397" t="str">
        <f t="shared" si="10"/>
        <v/>
      </c>
      <c r="AJ31" s="50"/>
      <c r="AK31" s="50"/>
      <c r="AL31" s="397" t="str">
        <f t="shared" si="11"/>
        <v/>
      </c>
      <c r="AM31" s="396" t="str">
        <f t="shared" si="12"/>
        <v/>
      </c>
      <c r="AN31" s="396" t="str">
        <f t="shared" si="13"/>
        <v/>
      </c>
      <c r="AO31" s="396" t="str">
        <f t="shared" si="14"/>
        <v/>
      </c>
      <c r="AP31" s="396" t="str">
        <f t="shared" si="15"/>
        <v/>
      </c>
      <c r="AR31" s="35" t="str">
        <f t="shared" si="0"/>
        <v>Sembunyikan</v>
      </c>
    </row>
    <row r="32" spans="2:44">
      <c r="B32" s="7">
        <v>23</v>
      </c>
      <c r="C32" s="7" t="str">
        <f>'Data Siswa'!C26&amp;""</f>
        <v/>
      </c>
      <c r="D32" s="11" t="str">
        <f>'Data Siswa'!F26&amp;""</f>
        <v/>
      </c>
      <c r="E32" s="434"/>
      <c r="F32" s="50"/>
      <c r="G32" s="50"/>
      <c r="H32" s="397" t="str">
        <f t="shared" si="1"/>
        <v/>
      </c>
      <c r="I32" s="50"/>
      <c r="J32" s="50"/>
      <c r="K32" s="397" t="str">
        <f t="shared" si="2"/>
        <v/>
      </c>
      <c r="L32" s="50"/>
      <c r="M32" s="50"/>
      <c r="N32" s="397" t="str">
        <f t="shared" si="3"/>
        <v/>
      </c>
      <c r="O32" s="50"/>
      <c r="P32" s="50"/>
      <c r="Q32" s="397" t="str">
        <f t="shared" si="4"/>
        <v/>
      </c>
      <c r="R32" s="50"/>
      <c r="S32" s="50"/>
      <c r="T32" s="397" t="str">
        <f t="shared" si="5"/>
        <v/>
      </c>
      <c r="U32" s="50"/>
      <c r="V32" s="50"/>
      <c r="W32" s="397" t="str">
        <f t="shared" si="6"/>
        <v/>
      </c>
      <c r="X32" s="50"/>
      <c r="Y32" s="50"/>
      <c r="Z32" s="397" t="str">
        <f t="shared" si="7"/>
        <v/>
      </c>
      <c r="AA32" s="50"/>
      <c r="AB32" s="50"/>
      <c r="AC32" s="397" t="str">
        <f t="shared" si="8"/>
        <v/>
      </c>
      <c r="AD32" s="50"/>
      <c r="AE32" s="50"/>
      <c r="AF32" s="397" t="str">
        <f t="shared" si="9"/>
        <v/>
      </c>
      <c r="AG32" s="49"/>
      <c r="AH32" s="50"/>
      <c r="AI32" s="397" t="str">
        <f t="shared" si="10"/>
        <v/>
      </c>
      <c r="AJ32" s="50"/>
      <c r="AK32" s="50"/>
      <c r="AL32" s="397" t="str">
        <f t="shared" si="11"/>
        <v/>
      </c>
      <c r="AM32" s="396" t="str">
        <f t="shared" si="12"/>
        <v/>
      </c>
      <c r="AN32" s="396" t="str">
        <f t="shared" si="13"/>
        <v/>
      </c>
      <c r="AO32" s="396" t="str">
        <f t="shared" si="14"/>
        <v/>
      </c>
      <c r="AP32" s="396" t="str">
        <f t="shared" si="15"/>
        <v/>
      </c>
      <c r="AR32" s="35" t="str">
        <f t="shared" si="0"/>
        <v>Sembunyikan</v>
      </c>
    </row>
    <row r="33" spans="2:44">
      <c r="B33" s="7">
        <v>24</v>
      </c>
      <c r="C33" s="7" t="str">
        <f>'Data Siswa'!C27&amp;""</f>
        <v/>
      </c>
      <c r="D33" s="11" t="str">
        <f>'Data Siswa'!F27&amp;""</f>
        <v/>
      </c>
      <c r="E33" s="434"/>
      <c r="F33" s="50"/>
      <c r="G33" s="50"/>
      <c r="H33" s="397" t="str">
        <f t="shared" si="1"/>
        <v/>
      </c>
      <c r="I33" s="50"/>
      <c r="J33" s="50"/>
      <c r="K33" s="397" t="str">
        <f t="shared" si="2"/>
        <v/>
      </c>
      <c r="L33" s="50"/>
      <c r="M33" s="50"/>
      <c r="N33" s="397" t="str">
        <f t="shared" si="3"/>
        <v/>
      </c>
      <c r="O33" s="50"/>
      <c r="P33" s="50"/>
      <c r="Q33" s="397" t="str">
        <f t="shared" si="4"/>
        <v/>
      </c>
      <c r="R33" s="50"/>
      <c r="S33" s="50"/>
      <c r="T33" s="397" t="str">
        <f t="shared" si="5"/>
        <v/>
      </c>
      <c r="U33" s="50"/>
      <c r="V33" s="50"/>
      <c r="W33" s="397" t="str">
        <f t="shared" si="6"/>
        <v/>
      </c>
      <c r="X33" s="50"/>
      <c r="Y33" s="50"/>
      <c r="Z33" s="397" t="str">
        <f t="shared" si="7"/>
        <v/>
      </c>
      <c r="AA33" s="50"/>
      <c r="AB33" s="50"/>
      <c r="AC33" s="397" t="str">
        <f t="shared" si="8"/>
        <v/>
      </c>
      <c r="AD33" s="50"/>
      <c r="AE33" s="50"/>
      <c r="AF33" s="397" t="str">
        <f t="shared" si="9"/>
        <v/>
      </c>
      <c r="AG33" s="49"/>
      <c r="AH33" s="50"/>
      <c r="AI33" s="397" t="str">
        <f t="shared" si="10"/>
        <v/>
      </c>
      <c r="AJ33" s="50"/>
      <c r="AK33" s="50"/>
      <c r="AL33" s="397" t="str">
        <f t="shared" si="11"/>
        <v/>
      </c>
      <c r="AM33" s="396" t="str">
        <f t="shared" si="12"/>
        <v/>
      </c>
      <c r="AN33" s="396" t="str">
        <f t="shared" si="13"/>
        <v/>
      </c>
      <c r="AO33" s="396" t="str">
        <f t="shared" si="14"/>
        <v/>
      </c>
      <c r="AP33" s="396" t="str">
        <f t="shared" si="15"/>
        <v/>
      </c>
      <c r="AR33" s="35" t="str">
        <f t="shared" si="0"/>
        <v>Sembunyikan</v>
      </c>
    </row>
    <row r="34" spans="2:44">
      <c r="B34" s="7">
        <v>25</v>
      </c>
      <c r="C34" s="7" t="str">
        <f>'Data Siswa'!C28&amp;""</f>
        <v/>
      </c>
      <c r="D34" s="11" t="str">
        <f>'Data Siswa'!F28&amp;""</f>
        <v/>
      </c>
      <c r="E34" s="434"/>
      <c r="F34" s="50"/>
      <c r="G34" s="50"/>
      <c r="H34" s="397" t="str">
        <f t="shared" si="1"/>
        <v/>
      </c>
      <c r="I34" s="50"/>
      <c r="J34" s="50"/>
      <c r="K34" s="397" t="str">
        <f t="shared" si="2"/>
        <v/>
      </c>
      <c r="L34" s="50"/>
      <c r="M34" s="50"/>
      <c r="N34" s="397" t="str">
        <f t="shared" si="3"/>
        <v/>
      </c>
      <c r="O34" s="50"/>
      <c r="P34" s="50"/>
      <c r="Q34" s="397" t="str">
        <f t="shared" si="4"/>
        <v/>
      </c>
      <c r="R34" s="50"/>
      <c r="S34" s="50"/>
      <c r="T34" s="397" t="str">
        <f t="shared" si="5"/>
        <v/>
      </c>
      <c r="U34" s="50"/>
      <c r="V34" s="50"/>
      <c r="W34" s="397" t="str">
        <f t="shared" si="6"/>
        <v/>
      </c>
      <c r="X34" s="50"/>
      <c r="Y34" s="50"/>
      <c r="Z34" s="397" t="str">
        <f t="shared" si="7"/>
        <v/>
      </c>
      <c r="AA34" s="50"/>
      <c r="AB34" s="50"/>
      <c r="AC34" s="397" t="str">
        <f t="shared" si="8"/>
        <v/>
      </c>
      <c r="AD34" s="50"/>
      <c r="AE34" s="50"/>
      <c r="AF34" s="397" t="str">
        <f t="shared" si="9"/>
        <v/>
      </c>
      <c r="AG34" s="49"/>
      <c r="AH34" s="50"/>
      <c r="AI34" s="397" t="str">
        <f t="shared" si="10"/>
        <v/>
      </c>
      <c r="AJ34" s="50"/>
      <c r="AK34" s="50"/>
      <c r="AL34" s="397" t="str">
        <f t="shared" si="11"/>
        <v/>
      </c>
      <c r="AM34" s="396" t="str">
        <f t="shared" si="12"/>
        <v/>
      </c>
      <c r="AN34" s="396" t="str">
        <f t="shared" si="13"/>
        <v/>
      </c>
      <c r="AO34" s="396" t="str">
        <f t="shared" si="14"/>
        <v/>
      </c>
      <c r="AP34" s="396" t="str">
        <f t="shared" si="15"/>
        <v/>
      </c>
      <c r="AR34" s="35" t="str">
        <f t="shared" si="0"/>
        <v>Sembunyikan</v>
      </c>
    </row>
    <row r="35" spans="2:44">
      <c r="B35" s="7">
        <v>26</v>
      </c>
      <c r="C35" s="7" t="str">
        <f>'Data Siswa'!C29&amp;""</f>
        <v/>
      </c>
      <c r="D35" s="11" t="str">
        <f>'Data Siswa'!F29&amp;""</f>
        <v/>
      </c>
      <c r="E35" s="435"/>
      <c r="F35" s="50"/>
      <c r="G35" s="50"/>
      <c r="H35" s="397" t="str">
        <f t="shared" si="1"/>
        <v/>
      </c>
      <c r="I35" s="50"/>
      <c r="J35" s="50"/>
      <c r="K35" s="397" t="str">
        <f t="shared" si="2"/>
        <v/>
      </c>
      <c r="L35" s="50"/>
      <c r="M35" s="50"/>
      <c r="N35" s="397" t="str">
        <f t="shared" si="3"/>
        <v/>
      </c>
      <c r="O35" s="50"/>
      <c r="P35" s="50"/>
      <c r="Q35" s="397" t="str">
        <f t="shared" si="4"/>
        <v/>
      </c>
      <c r="R35" s="50"/>
      <c r="S35" s="50"/>
      <c r="T35" s="397" t="str">
        <f t="shared" si="5"/>
        <v/>
      </c>
      <c r="U35" s="50"/>
      <c r="V35" s="50"/>
      <c r="W35" s="397" t="str">
        <f t="shared" si="6"/>
        <v/>
      </c>
      <c r="X35" s="50"/>
      <c r="Y35" s="50"/>
      <c r="Z35" s="397" t="str">
        <f t="shared" si="7"/>
        <v/>
      </c>
      <c r="AA35" s="50"/>
      <c r="AB35" s="50"/>
      <c r="AC35" s="397" t="str">
        <f t="shared" si="8"/>
        <v/>
      </c>
      <c r="AD35" s="50"/>
      <c r="AE35" s="50"/>
      <c r="AF35" s="397" t="str">
        <f t="shared" si="9"/>
        <v/>
      </c>
      <c r="AG35" s="49"/>
      <c r="AH35" s="50"/>
      <c r="AI35" s="397" t="str">
        <f t="shared" si="10"/>
        <v/>
      </c>
      <c r="AJ35" s="50"/>
      <c r="AK35" s="50"/>
      <c r="AL35" s="397" t="str">
        <f t="shared" si="11"/>
        <v/>
      </c>
      <c r="AM35" s="396" t="str">
        <f t="shared" si="12"/>
        <v/>
      </c>
      <c r="AN35" s="396" t="str">
        <f t="shared" si="13"/>
        <v/>
      </c>
      <c r="AO35" s="396" t="str">
        <f t="shared" si="14"/>
        <v/>
      </c>
      <c r="AP35" s="396" t="str">
        <f t="shared" si="15"/>
        <v/>
      </c>
      <c r="AR35" s="35" t="str">
        <f t="shared" si="0"/>
        <v>Sembunyikan</v>
      </c>
    </row>
    <row r="36" spans="2:44">
      <c r="B36" s="7">
        <v>27</v>
      </c>
      <c r="C36" s="7" t="str">
        <f>'Data Siswa'!C30&amp;""</f>
        <v/>
      </c>
      <c r="D36" s="11" t="str">
        <f>'Data Siswa'!F30&amp;""</f>
        <v/>
      </c>
      <c r="E36" s="434"/>
      <c r="F36" s="50"/>
      <c r="G36" s="50"/>
      <c r="H36" s="397" t="str">
        <f t="shared" si="1"/>
        <v/>
      </c>
      <c r="I36" s="50"/>
      <c r="J36" s="50"/>
      <c r="K36" s="397" t="str">
        <f t="shared" si="2"/>
        <v/>
      </c>
      <c r="L36" s="50"/>
      <c r="M36" s="50"/>
      <c r="N36" s="397" t="str">
        <f t="shared" si="3"/>
        <v/>
      </c>
      <c r="O36" s="50"/>
      <c r="P36" s="50"/>
      <c r="Q36" s="397" t="str">
        <f t="shared" si="4"/>
        <v/>
      </c>
      <c r="R36" s="50"/>
      <c r="S36" s="50"/>
      <c r="T36" s="397" t="str">
        <f t="shared" si="5"/>
        <v/>
      </c>
      <c r="U36" s="50"/>
      <c r="V36" s="50"/>
      <c r="W36" s="397" t="str">
        <f t="shared" si="6"/>
        <v/>
      </c>
      <c r="X36" s="50"/>
      <c r="Y36" s="50"/>
      <c r="Z36" s="397" t="str">
        <f t="shared" si="7"/>
        <v/>
      </c>
      <c r="AA36" s="50"/>
      <c r="AB36" s="50"/>
      <c r="AC36" s="397" t="str">
        <f t="shared" si="8"/>
        <v/>
      </c>
      <c r="AD36" s="50"/>
      <c r="AE36" s="50"/>
      <c r="AF36" s="397" t="str">
        <f t="shared" si="9"/>
        <v/>
      </c>
      <c r="AG36" s="49"/>
      <c r="AH36" s="50"/>
      <c r="AI36" s="397" t="str">
        <f t="shared" si="10"/>
        <v/>
      </c>
      <c r="AJ36" s="50"/>
      <c r="AK36" s="50"/>
      <c r="AL36" s="397" t="str">
        <f t="shared" si="11"/>
        <v/>
      </c>
      <c r="AM36" s="396" t="str">
        <f t="shared" si="12"/>
        <v/>
      </c>
      <c r="AN36" s="396" t="str">
        <f t="shared" si="13"/>
        <v/>
      </c>
      <c r="AO36" s="396" t="str">
        <f t="shared" si="14"/>
        <v/>
      </c>
      <c r="AP36" s="396" t="str">
        <f t="shared" si="15"/>
        <v/>
      </c>
      <c r="AR36" s="35" t="str">
        <f t="shared" si="0"/>
        <v>Sembunyikan</v>
      </c>
    </row>
    <row r="37" spans="2:44">
      <c r="B37" s="7">
        <v>28</v>
      </c>
      <c r="C37" s="7" t="str">
        <f>'Data Siswa'!C31&amp;""</f>
        <v/>
      </c>
      <c r="D37" s="11" t="str">
        <f>'Data Siswa'!F31&amp;""</f>
        <v/>
      </c>
      <c r="E37" s="434"/>
      <c r="F37" s="50"/>
      <c r="G37" s="50"/>
      <c r="H37" s="397" t="str">
        <f t="shared" si="1"/>
        <v/>
      </c>
      <c r="I37" s="50"/>
      <c r="J37" s="50"/>
      <c r="K37" s="397" t="str">
        <f t="shared" si="2"/>
        <v/>
      </c>
      <c r="L37" s="50"/>
      <c r="M37" s="50"/>
      <c r="N37" s="397" t="str">
        <f t="shared" si="3"/>
        <v/>
      </c>
      <c r="O37" s="50"/>
      <c r="P37" s="50"/>
      <c r="Q37" s="397" t="str">
        <f t="shared" si="4"/>
        <v/>
      </c>
      <c r="R37" s="50"/>
      <c r="S37" s="50"/>
      <c r="T37" s="397" t="str">
        <f t="shared" si="5"/>
        <v/>
      </c>
      <c r="U37" s="50"/>
      <c r="V37" s="50"/>
      <c r="W37" s="397" t="str">
        <f t="shared" si="6"/>
        <v/>
      </c>
      <c r="X37" s="50"/>
      <c r="Y37" s="50"/>
      <c r="Z37" s="397" t="str">
        <f t="shared" si="7"/>
        <v/>
      </c>
      <c r="AA37" s="50"/>
      <c r="AB37" s="50"/>
      <c r="AC37" s="397" t="str">
        <f t="shared" si="8"/>
        <v/>
      </c>
      <c r="AD37" s="50"/>
      <c r="AE37" s="50"/>
      <c r="AF37" s="397" t="str">
        <f t="shared" si="9"/>
        <v/>
      </c>
      <c r="AG37" s="49"/>
      <c r="AH37" s="50"/>
      <c r="AI37" s="397" t="str">
        <f t="shared" si="10"/>
        <v/>
      </c>
      <c r="AJ37" s="50"/>
      <c r="AK37" s="50"/>
      <c r="AL37" s="397" t="str">
        <f t="shared" si="11"/>
        <v/>
      </c>
      <c r="AM37" s="396" t="str">
        <f t="shared" si="12"/>
        <v/>
      </c>
      <c r="AN37" s="396" t="str">
        <f t="shared" si="13"/>
        <v/>
      </c>
      <c r="AO37" s="396" t="str">
        <f t="shared" si="14"/>
        <v/>
      </c>
      <c r="AP37" s="396" t="str">
        <f t="shared" si="15"/>
        <v/>
      </c>
      <c r="AR37" s="35" t="str">
        <f t="shared" si="0"/>
        <v>Sembunyikan</v>
      </c>
    </row>
    <row r="38" spans="2:44">
      <c r="B38" s="7">
        <v>29</v>
      </c>
      <c r="C38" s="7" t="str">
        <f>'Data Siswa'!C32&amp;""</f>
        <v/>
      </c>
      <c r="D38" s="11" t="str">
        <f>'Data Siswa'!F32&amp;""</f>
        <v/>
      </c>
      <c r="E38" s="434"/>
      <c r="F38" s="50"/>
      <c r="G38" s="50"/>
      <c r="H38" s="397" t="str">
        <f t="shared" si="1"/>
        <v/>
      </c>
      <c r="I38" s="50"/>
      <c r="J38" s="50"/>
      <c r="K38" s="397" t="str">
        <f t="shared" si="2"/>
        <v/>
      </c>
      <c r="L38" s="50"/>
      <c r="M38" s="50"/>
      <c r="N38" s="397" t="str">
        <f t="shared" si="3"/>
        <v/>
      </c>
      <c r="O38" s="50"/>
      <c r="P38" s="50"/>
      <c r="Q38" s="397" t="str">
        <f t="shared" si="4"/>
        <v/>
      </c>
      <c r="R38" s="50"/>
      <c r="S38" s="50"/>
      <c r="T38" s="397" t="str">
        <f t="shared" si="5"/>
        <v/>
      </c>
      <c r="U38" s="50"/>
      <c r="V38" s="50"/>
      <c r="W38" s="397" t="str">
        <f t="shared" si="6"/>
        <v/>
      </c>
      <c r="X38" s="50"/>
      <c r="Y38" s="50"/>
      <c r="Z38" s="397" t="str">
        <f t="shared" si="7"/>
        <v/>
      </c>
      <c r="AA38" s="50"/>
      <c r="AB38" s="50"/>
      <c r="AC38" s="397" t="str">
        <f t="shared" si="8"/>
        <v/>
      </c>
      <c r="AD38" s="50"/>
      <c r="AE38" s="50"/>
      <c r="AF38" s="397" t="str">
        <f t="shared" si="9"/>
        <v/>
      </c>
      <c r="AG38" s="49"/>
      <c r="AH38" s="50"/>
      <c r="AI38" s="397" t="str">
        <f t="shared" si="10"/>
        <v/>
      </c>
      <c r="AJ38" s="50"/>
      <c r="AK38" s="50"/>
      <c r="AL38" s="397" t="str">
        <f t="shared" si="11"/>
        <v/>
      </c>
      <c r="AM38" s="396" t="str">
        <f t="shared" si="12"/>
        <v/>
      </c>
      <c r="AN38" s="396" t="str">
        <f t="shared" si="13"/>
        <v/>
      </c>
      <c r="AO38" s="396" t="str">
        <f t="shared" si="14"/>
        <v/>
      </c>
      <c r="AP38" s="396" t="str">
        <f t="shared" si="15"/>
        <v/>
      </c>
      <c r="AR38" s="35" t="str">
        <f t="shared" si="0"/>
        <v>Sembunyikan</v>
      </c>
    </row>
    <row r="39" spans="2:44">
      <c r="B39" s="7">
        <v>30</v>
      </c>
      <c r="C39" s="7" t="str">
        <f>'Data Siswa'!C33&amp;""</f>
        <v/>
      </c>
      <c r="D39" s="11" t="str">
        <f>'Data Siswa'!F33&amp;""</f>
        <v/>
      </c>
      <c r="E39" s="434"/>
      <c r="F39" s="50"/>
      <c r="G39" s="50"/>
      <c r="H39" s="397" t="str">
        <f t="shared" si="1"/>
        <v/>
      </c>
      <c r="I39" s="50"/>
      <c r="J39" s="50"/>
      <c r="K39" s="397" t="str">
        <f t="shared" si="2"/>
        <v/>
      </c>
      <c r="L39" s="50"/>
      <c r="M39" s="50"/>
      <c r="N39" s="397" t="str">
        <f t="shared" si="3"/>
        <v/>
      </c>
      <c r="O39" s="50"/>
      <c r="P39" s="50"/>
      <c r="Q39" s="397" t="str">
        <f t="shared" si="4"/>
        <v/>
      </c>
      <c r="R39" s="50"/>
      <c r="S39" s="50"/>
      <c r="T39" s="397" t="str">
        <f t="shared" si="5"/>
        <v/>
      </c>
      <c r="U39" s="50"/>
      <c r="V39" s="50"/>
      <c r="W39" s="397" t="str">
        <f t="shared" si="6"/>
        <v/>
      </c>
      <c r="X39" s="50"/>
      <c r="Y39" s="50"/>
      <c r="Z39" s="397" t="str">
        <f t="shared" si="7"/>
        <v/>
      </c>
      <c r="AA39" s="50"/>
      <c r="AB39" s="50"/>
      <c r="AC39" s="397" t="str">
        <f t="shared" si="8"/>
        <v/>
      </c>
      <c r="AD39" s="50"/>
      <c r="AE39" s="50"/>
      <c r="AF39" s="397" t="str">
        <f t="shared" si="9"/>
        <v/>
      </c>
      <c r="AG39" s="49"/>
      <c r="AH39" s="50"/>
      <c r="AI39" s="397" t="str">
        <f t="shared" si="10"/>
        <v/>
      </c>
      <c r="AJ39" s="50"/>
      <c r="AK39" s="50"/>
      <c r="AL39" s="397" t="str">
        <f t="shared" si="11"/>
        <v/>
      </c>
      <c r="AM39" s="396" t="str">
        <f t="shared" si="12"/>
        <v/>
      </c>
      <c r="AN39" s="396" t="str">
        <f t="shared" si="13"/>
        <v/>
      </c>
      <c r="AO39" s="396" t="str">
        <f t="shared" si="14"/>
        <v/>
      </c>
      <c r="AP39" s="396" t="str">
        <f t="shared" si="15"/>
        <v/>
      </c>
      <c r="AR39" s="35" t="str">
        <f t="shared" si="0"/>
        <v>Sembunyikan</v>
      </c>
    </row>
    <row r="40" spans="2:44">
      <c r="B40" s="7">
        <v>31</v>
      </c>
      <c r="C40" s="7" t="str">
        <f>'Data Siswa'!C34&amp;""</f>
        <v/>
      </c>
      <c r="D40" s="11" t="str">
        <f>'Data Siswa'!F34&amp;""</f>
        <v/>
      </c>
      <c r="E40" s="434"/>
      <c r="F40" s="50"/>
      <c r="G40" s="50"/>
      <c r="H40" s="397" t="str">
        <f t="shared" si="1"/>
        <v/>
      </c>
      <c r="I40" s="50"/>
      <c r="J40" s="50"/>
      <c r="K40" s="397" t="str">
        <f t="shared" si="2"/>
        <v/>
      </c>
      <c r="L40" s="50"/>
      <c r="M40" s="50"/>
      <c r="N40" s="397" t="str">
        <f t="shared" si="3"/>
        <v/>
      </c>
      <c r="O40" s="50"/>
      <c r="P40" s="50"/>
      <c r="Q40" s="397" t="str">
        <f t="shared" si="4"/>
        <v/>
      </c>
      <c r="R40" s="50"/>
      <c r="S40" s="50"/>
      <c r="T40" s="397" t="str">
        <f t="shared" si="5"/>
        <v/>
      </c>
      <c r="U40" s="50"/>
      <c r="V40" s="50"/>
      <c r="W40" s="397" t="str">
        <f t="shared" si="6"/>
        <v/>
      </c>
      <c r="X40" s="50"/>
      <c r="Y40" s="50"/>
      <c r="Z40" s="397" t="str">
        <f t="shared" si="7"/>
        <v/>
      </c>
      <c r="AA40" s="50"/>
      <c r="AB40" s="50"/>
      <c r="AC40" s="397" t="str">
        <f t="shared" si="8"/>
        <v/>
      </c>
      <c r="AD40" s="50"/>
      <c r="AE40" s="50"/>
      <c r="AF40" s="397" t="str">
        <f t="shared" si="9"/>
        <v/>
      </c>
      <c r="AG40" s="49"/>
      <c r="AH40" s="50"/>
      <c r="AI40" s="397" t="str">
        <f t="shared" si="10"/>
        <v/>
      </c>
      <c r="AJ40" s="50"/>
      <c r="AK40" s="50"/>
      <c r="AL40" s="397" t="str">
        <f t="shared" si="11"/>
        <v/>
      </c>
      <c r="AM40" s="396" t="str">
        <f t="shared" si="12"/>
        <v/>
      </c>
      <c r="AN40" s="396" t="str">
        <f t="shared" si="13"/>
        <v/>
      </c>
      <c r="AO40" s="396" t="str">
        <f t="shared" si="14"/>
        <v/>
      </c>
      <c r="AP40" s="396" t="str">
        <f t="shared" si="15"/>
        <v/>
      </c>
      <c r="AR40" s="35" t="str">
        <f t="shared" si="0"/>
        <v>Sembunyikan</v>
      </c>
    </row>
    <row r="41" spans="2:44">
      <c r="B41" s="7">
        <v>32</v>
      </c>
      <c r="C41" s="7" t="str">
        <f>'Data Siswa'!C35&amp;""</f>
        <v/>
      </c>
      <c r="D41" s="11" t="str">
        <f>'Data Siswa'!F35&amp;""</f>
        <v/>
      </c>
      <c r="E41" s="434"/>
      <c r="F41" s="50"/>
      <c r="G41" s="50"/>
      <c r="H41" s="397" t="str">
        <f t="shared" si="1"/>
        <v/>
      </c>
      <c r="I41" s="50"/>
      <c r="J41" s="50"/>
      <c r="K41" s="397" t="str">
        <f t="shared" si="2"/>
        <v/>
      </c>
      <c r="L41" s="50"/>
      <c r="M41" s="50"/>
      <c r="N41" s="397" t="str">
        <f t="shared" si="3"/>
        <v/>
      </c>
      <c r="O41" s="50"/>
      <c r="P41" s="50"/>
      <c r="Q41" s="397" t="str">
        <f t="shared" si="4"/>
        <v/>
      </c>
      <c r="R41" s="50"/>
      <c r="S41" s="50"/>
      <c r="T41" s="397" t="str">
        <f t="shared" si="5"/>
        <v/>
      </c>
      <c r="U41" s="50"/>
      <c r="V41" s="50"/>
      <c r="W41" s="397" t="str">
        <f t="shared" si="6"/>
        <v/>
      </c>
      <c r="X41" s="50"/>
      <c r="Y41" s="50"/>
      <c r="Z41" s="397" t="str">
        <f t="shared" si="7"/>
        <v/>
      </c>
      <c r="AA41" s="50"/>
      <c r="AB41" s="50"/>
      <c r="AC41" s="397" t="str">
        <f t="shared" si="8"/>
        <v/>
      </c>
      <c r="AD41" s="50"/>
      <c r="AE41" s="50"/>
      <c r="AF41" s="397" t="str">
        <f t="shared" si="9"/>
        <v/>
      </c>
      <c r="AG41" s="49"/>
      <c r="AH41" s="50"/>
      <c r="AI41" s="397" t="str">
        <f t="shared" si="10"/>
        <v/>
      </c>
      <c r="AJ41" s="50"/>
      <c r="AK41" s="50"/>
      <c r="AL41" s="397" t="str">
        <f t="shared" si="11"/>
        <v/>
      </c>
      <c r="AM41" s="396" t="str">
        <f t="shared" si="12"/>
        <v/>
      </c>
      <c r="AN41" s="396" t="str">
        <f t="shared" si="13"/>
        <v/>
      </c>
      <c r="AO41" s="396" t="str">
        <f t="shared" si="14"/>
        <v/>
      </c>
      <c r="AP41" s="396" t="str">
        <f t="shared" si="15"/>
        <v/>
      </c>
      <c r="AR41" s="35" t="str">
        <f t="shared" si="0"/>
        <v>Sembunyikan</v>
      </c>
    </row>
    <row r="42" spans="2:44">
      <c r="B42" s="7">
        <v>33</v>
      </c>
      <c r="C42" s="7" t="str">
        <f>'Data Siswa'!C36&amp;""</f>
        <v/>
      </c>
      <c r="D42" s="11" t="str">
        <f>'Data Siswa'!F36&amp;""</f>
        <v/>
      </c>
      <c r="E42" s="434"/>
      <c r="F42" s="50"/>
      <c r="G42" s="50"/>
      <c r="H42" s="397" t="str">
        <f t="shared" si="1"/>
        <v/>
      </c>
      <c r="I42" s="50"/>
      <c r="J42" s="50"/>
      <c r="K42" s="397" t="str">
        <f t="shared" si="2"/>
        <v/>
      </c>
      <c r="L42" s="50"/>
      <c r="M42" s="50"/>
      <c r="N42" s="397" t="str">
        <f t="shared" si="3"/>
        <v/>
      </c>
      <c r="O42" s="50"/>
      <c r="P42" s="50"/>
      <c r="Q42" s="397" t="str">
        <f t="shared" si="4"/>
        <v/>
      </c>
      <c r="R42" s="50"/>
      <c r="S42" s="50"/>
      <c r="T42" s="397" t="str">
        <f t="shared" si="5"/>
        <v/>
      </c>
      <c r="U42" s="50"/>
      <c r="V42" s="50"/>
      <c r="W42" s="397" t="str">
        <f t="shared" si="6"/>
        <v/>
      </c>
      <c r="X42" s="50"/>
      <c r="Y42" s="50"/>
      <c r="Z42" s="397" t="str">
        <f t="shared" si="7"/>
        <v/>
      </c>
      <c r="AA42" s="50"/>
      <c r="AB42" s="50"/>
      <c r="AC42" s="397" t="str">
        <f t="shared" si="8"/>
        <v/>
      </c>
      <c r="AD42" s="50"/>
      <c r="AE42" s="50"/>
      <c r="AF42" s="397" t="str">
        <f t="shared" si="9"/>
        <v/>
      </c>
      <c r="AG42" s="49"/>
      <c r="AH42" s="50"/>
      <c r="AI42" s="397" t="str">
        <f t="shared" si="10"/>
        <v/>
      </c>
      <c r="AJ42" s="50"/>
      <c r="AK42" s="50"/>
      <c r="AL42" s="397" t="str">
        <f t="shared" si="11"/>
        <v/>
      </c>
      <c r="AM42" s="396" t="str">
        <f t="shared" si="12"/>
        <v/>
      </c>
      <c r="AN42" s="396" t="str">
        <f t="shared" si="13"/>
        <v/>
      </c>
      <c r="AO42" s="396" t="str">
        <f t="shared" si="14"/>
        <v/>
      </c>
      <c r="AP42" s="396" t="str">
        <f t="shared" si="15"/>
        <v/>
      </c>
      <c r="AR42" s="35" t="str">
        <f t="shared" ref="AR42:AR59" si="16">IF(D42="","Sembunyikan","Data")</f>
        <v>Sembunyikan</v>
      </c>
    </row>
    <row r="43" spans="2:44">
      <c r="B43" s="7">
        <v>34</v>
      </c>
      <c r="C43" s="7" t="str">
        <f>'Data Siswa'!C37&amp;""</f>
        <v/>
      </c>
      <c r="D43" s="11" t="str">
        <f>'Data Siswa'!F37&amp;""</f>
        <v/>
      </c>
      <c r="E43" s="434"/>
      <c r="F43" s="50"/>
      <c r="G43" s="50"/>
      <c r="H43" s="397" t="str">
        <f t="shared" si="1"/>
        <v/>
      </c>
      <c r="I43" s="50"/>
      <c r="J43" s="50"/>
      <c r="K43" s="397" t="str">
        <f t="shared" si="2"/>
        <v/>
      </c>
      <c r="L43" s="50"/>
      <c r="M43" s="50"/>
      <c r="N43" s="397" t="str">
        <f t="shared" si="3"/>
        <v/>
      </c>
      <c r="O43" s="50"/>
      <c r="P43" s="50"/>
      <c r="Q43" s="397" t="str">
        <f t="shared" si="4"/>
        <v/>
      </c>
      <c r="R43" s="50"/>
      <c r="S43" s="50"/>
      <c r="T43" s="397" t="str">
        <f t="shared" si="5"/>
        <v/>
      </c>
      <c r="U43" s="50"/>
      <c r="V43" s="50"/>
      <c r="W43" s="397" t="str">
        <f t="shared" si="6"/>
        <v/>
      </c>
      <c r="X43" s="50"/>
      <c r="Y43" s="50"/>
      <c r="Z43" s="397" t="str">
        <f t="shared" si="7"/>
        <v/>
      </c>
      <c r="AA43" s="50"/>
      <c r="AB43" s="50"/>
      <c r="AC43" s="397" t="str">
        <f t="shared" si="8"/>
        <v/>
      </c>
      <c r="AD43" s="50"/>
      <c r="AE43" s="50"/>
      <c r="AF43" s="397" t="str">
        <f t="shared" si="9"/>
        <v/>
      </c>
      <c r="AG43" s="49"/>
      <c r="AH43" s="50"/>
      <c r="AI43" s="397" t="str">
        <f t="shared" si="10"/>
        <v/>
      </c>
      <c r="AJ43" s="50"/>
      <c r="AK43" s="50"/>
      <c r="AL43" s="397" t="str">
        <f t="shared" si="11"/>
        <v/>
      </c>
      <c r="AM43" s="396" t="str">
        <f t="shared" si="12"/>
        <v/>
      </c>
      <c r="AN43" s="396" t="str">
        <f t="shared" si="13"/>
        <v/>
      </c>
      <c r="AO43" s="396" t="str">
        <f t="shared" si="14"/>
        <v/>
      </c>
      <c r="AP43" s="396" t="str">
        <f t="shared" si="15"/>
        <v/>
      </c>
      <c r="AR43" s="35" t="str">
        <f t="shared" si="16"/>
        <v>Sembunyikan</v>
      </c>
    </row>
    <row r="44" spans="2:44">
      <c r="B44" s="7">
        <v>35</v>
      </c>
      <c r="C44" s="7" t="str">
        <f>'Data Siswa'!C38&amp;""</f>
        <v/>
      </c>
      <c r="D44" s="11" t="str">
        <f>'Data Siswa'!F38&amp;""</f>
        <v/>
      </c>
      <c r="E44" s="434"/>
      <c r="F44" s="50"/>
      <c r="G44" s="50"/>
      <c r="H44" s="397" t="str">
        <f t="shared" si="1"/>
        <v/>
      </c>
      <c r="I44" s="50"/>
      <c r="J44" s="50"/>
      <c r="K44" s="397" t="str">
        <f t="shared" si="2"/>
        <v/>
      </c>
      <c r="L44" s="50"/>
      <c r="M44" s="50"/>
      <c r="N44" s="397" t="str">
        <f t="shared" si="3"/>
        <v/>
      </c>
      <c r="O44" s="50"/>
      <c r="P44" s="50"/>
      <c r="Q44" s="397" t="str">
        <f t="shared" si="4"/>
        <v/>
      </c>
      <c r="R44" s="50"/>
      <c r="S44" s="50"/>
      <c r="T44" s="397" t="str">
        <f t="shared" si="5"/>
        <v/>
      </c>
      <c r="U44" s="50"/>
      <c r="V44" s="50"/>
      <c r="W44" s="397" t="str">
        <f t="shared" si="6"/>
        <v/>
      </c>
      <c r="X44" s="50"/>
      <c r="Y44" s="50"/>
      <c r="Z44" s="397" t="str">
        <f t="shared" si="7"/>
        <v/>
      </c>
      <c r="AA44" s="50"/>
      <c r="AB44" s="50"/>
      <c r="AC44" s="397" t="str">
        <f t="shared" si="8"/>
        <v/>
      </c>
      <c r="AD44" s="50"/>
      <c r="AE44" s="50"/>
      <c r="AF44" s="397" t="str">
        <f t="shared" si="9"/>
        <v/>
      </c>
      <c r="AG44" s="49"/>
      <c r="AH44" s="50"/>
      <c r="AI44" s="397" t="str">
        <f t="shared" si="10"/>
        <v/>
      </c>
      <c r="AJ44" s="50"/>
      <c r="AK44" s="50"/>
      <c r="AL44" s="397" t="str">
        <f t="shared" si="11"/>
        <v/>
      </c>
      <c r="AM44" s="396" t="str">
        <f t="shared" si="12"/>
        <v/>
      </c>
      <c r="AN44" s="396" t="str">
        <f t="shared" si="13"/>
        <v/>
      </c>
      <c r="AO44" s="396" t="str">
        <f t="shared" si="14"/>
        <v/>
      </c>
      <c r="AP44" s="396" t="str">
        <f t="shared" si="15"/>
        <v/>
      </c>
      <c r="AR44" s="35" t="str">
        <f t="shared" si="16"/>
        <v>Sembunyikan</v>
      </c>
    </row>
    <row r="45" spans="2:44">
      <c r="B45" s="7">
        <v>36</v>
      </c>
      <c r="C45" s="7" t="str">
        <f>'Data Siswa'!C39&amp;""</f>
        <v/>
      </c>
      <c r="D45" s="11" t="str">
        <f>'Data Siswa'!F39&amp;""</f>
        <v/>
      </c>
      <c r="E45" s="434"/>
      <c r="F45" s="50"/>
      <c r="G45" s="50"/>
      <c r="H45" s="397" t="str">
        <f t="shared" si="1"/>
        <v/>
      </c>
      <c r="I45" s="50"/>
      <c r="J45" s="50"/>
      <c r="K45" s="397" t="str">
        <f t="shared" si="2"/>
        <v/>
      </c>
      <c r="L45" s="50"/>
      <c r="M45" s="50"/>
      <c r="N45" s="397" t="str">
        <f t="shared" si="3"/>
        <v/>
      </c>
      <c r="O45" s="50"/>
      <c r="P45" s="50"/>
      <c r="Q45" s="397" t="str">
        <f t="shared" si="4"/>
        <v/>
      </c>
      <c r="R45" s="50"/>
      <c r="S45" s="50"/>
      <c r="T45" s="397" t="str">
        <f t="shared" si="5"/>
        <v/>
      </c>
      <c r="U45" s="50"/>
      <c r="V45" s="50"/>
      <c r="W45" s="397" t="str">
        <f t="shared" si="6"/>
        <v/>
      </c>
      <c r="X45" s="50"/>
      <c r="Y45" s="50"/>
      <c r="Z45" s="397" t="str">
        <f t="shared" si="7"/>
        <v/>
      </c>
      <c r="AA45" s="50"/>
      <c r="AB45" s="50"/>
      <c r="AC45" s="397" t="str">
        <f t="shared" si="8"/>
        <v/>
      </c>
      <c r="AD45" s="50"/>
      <c r="AE45" s="50"/>
      <c r="AF45" s="397" t="str">
        <f t="shared" si="9"/>
        <v/>
      </c>
      <c r="AG45" s="49"/>
      <c r="AH45" s="50"/>
      <c r="AI45" s="397" t="str">
        <f t="shared" si="10"/>
        <v/>
      </c>
      <c r="AJ45" s="50"/>
      <c r="AK45" s="50"/>
      <c r="AL45" s="397" t="str">
        <f t="shared" si="11"/>
        <v/>
      </c>
      <c r="AM45" s="396" t="str">
        <f t="shared" si="12"/>
        <v/>
      </c>
      <c r="AN45" s="396" t="str">
        <f t="shared" si="13"/>
        <v/>
      </c>
      <c r="AO45" s="396" t="str">
        <f t="shared" si="14"/>
        <v/>
      </c>
      <c r="AP45" s="396" t="str">
        <f t="shared" si="15"/>
        <v/>
      </c>
      <c r="AR45" s="35" t="str">
        <f t="shared" si="16"/>
        <v>Sembunyikan</v>
      </c>
    </row>
    <row r="46" spans="2:44">
      <c r="B46" s="7">
        <v>37</v>
      </c>
      <c r="C46" s="7" t="str">
        <f>'Data Siswa'!C40&amp;""</f>
        <v/>
      </c>
      <c r="D46" s="11" t="str">
        <f>'Data Siswa'!F40&amp;""</f>
        <v/>
      </c>
      <c r="E46" s="434"/>
      <c r="F46" s="50"/>
      <c r="G46" s="50"/>
      <c r="H46" s="397" t="str">
        <f t="shared" si="1"/>
        <v/>
      </c>
      <c r="I46" s="50"/>
      <c r="J46" s="50"/>
      <c r="K46" s="397" t="str">
        <f t="shared" si="2"/>
        <v/>
      </c>
      <c r="L46" s="50"/>
      <c r="M46" s="50"/>
      <c r="N46" s="397" t="str">
        <f t="shared" si="3"/>
        <v/>
      </c>
      <c r="O46" s="50"/>
      <c r="P46" s="50"/>
      <c r="Q46" s="397" t="str">
        <f t="shared" si="4"/>
        <v/>
      </c>
      <c r="R46" s="50"/>
      <c r="S46" s="50"/>
      <c r="T46" s="397" t="str">
        <f t="shared" si="5"/>
        <v/>
      </c>
      <c r="U46" s="50"/>
      <c r="V46" s="50"/>
      <c r="W46" s="397" t="str">
        <f t="shared" si="6"/>
        <v/>
      </c>
      <c r="X46" s="50"/>
      <c r="Y46" s="50"/>
      <c r="Z46" s="397" t="str">
        <f t="shared" si="7"/>
        <v/>
      </c>
      <c r="AA46" s="50"/>
      <c r="AB46" s="50"/>
      <c r="AC46" s="397" t="str">
        <f t="shared" si="8"/>
        <v/>
      </c>
      <c r="AD46" s="50"/>
      <c r="AE46" s="50"/>
      <c r="AF46" s="397" t="str">
        <f t="shared" si="9"/>
        <v/>
      </c>
      <c r="AG46" s="49"/>
      <c r="AH46" s="50"/>
      <c r="AI46" s="397" t="str">
        <f t="shared" si="10"/>
        <v/>
      </c>
      <c r="AJ46" s="50"/>
      <c r="AK46" s="50"/>
      <c r="AL46" s="397" t="str">
        <f t="shared" si="11"/>
        <v/>
      </c>
      <c r="AM46" s="396" t="str">
        <f t="shared" si="12"/>
        <v/>
      </c>
      <c r="AN46" s="396" t="str">
        <f t="shared" si="13"/>
        <v/>
      </c>
      <c r="AO46" s="396" t="str">
        <f t="shared" si="14"/>
        <v/>
      </c>
      <c r="AP46" s="396" t="str">
        <f t="shared" si="15"/>
        <v/>
      </c>
      <c r="AR46" s="35" t="str">
        <f t="shared" si="16"/>
        <v>Sembunyikan</v>
      </c>
    </row>
    <row r="47" spans="2:44">
      <c r="B47" s="7">
        <v>38</v>
      </c>
      <c r="C47" s="7" t="str">
        <f>'Data Siswa'!C41&amp;""</f>
        <v/>
      </c>
      <c r="D47" s="11" t="str">
        <f>'Data Siswa'!F41&amp;""</f>
        <v/>
      </c>
      <c r="E47" s="434"/>
      <c r="F47" s="50"/>
      <c r="G47" s="50"/>
      <c r="H47" s="397" t="str">
        <f t="shared" si="1"/>
        <v/>
      </c>
      <c r="I47" s="50"/>
      <c r="J47" s="50"/>
      <c r="K47" s="397" t="str">
        <f t="shared" si="2"/>
        <v/>
      </c>
      <c r="L47" s="50"/>
      <c r="M47" s="50"/>
      <c r="N47" s="397" t="str">
        <f t="shared" si="3"/>
        <v/>
      </c>
      <c r="O47" s="50"/>
      <c r="P47" s="50"/>
      <c r="Q47" s="397" t="str">
        <f t="shared" si="4"/>
        <v/>
      </c>
      <c r="R47" s="50"/>
      <c r="S47" s="50"/>
      <c r="T47" s="397" t="str">
        <f t="shared" si="5"/>
        <v/>
      </c>
      <c r="U47" s="50"/>
      <c r="V47" s="50"/>
      <c r="W47" s="397" t="str">
        <f t="shared" si="6"/>
        <v/>
      </c>
      <c r="X47" s="50"/>
      <c r="Y47" s="50"/>
      <c r="Z47" s="397" t="str">
        <f t="shared" si="7"/>
        <v/>
      </c>
      <c r="AA47" s="50"/>
      <c r="AB47" s="50"/>
      <c r="AC47" s="397" t="str">
        <f t="shared" si="8"/>
        <v/>
      </c>
      <c r="AD47" s="50"/>
      <c r="AE47" s="50"/>
      <c r="AF47" s="397" t="str">
        <f t="shared" si="9"/>
        <v/>
      </c>
      <c r="AG47" s="49"/>
      <c r="AH47" s="50"/>
      <c r="AI47" s="397" t="str">
        <f t="shared" si="10"/>
        <v/>
      </c>
      <c r="AJ47" s="50"/>
      <c r="AK47" s="50"/>
      <c r="AL47" s="397" t="str">
        <f t="shared" si="11"/>
        <v/>
      </c>
      <c r="AM47" s="396" t="str">
        <f t="shared" si="12"/>
        <v/>
      </c>
      <c r="AN47" s="396" t="str">
        <f t="shared" si="13"/>
        <v/>
      </c>
      <c r="AO47" s="396" t="str">
        <f t="shared" si="14"/>
        <v/>
      </c>
      <c r="AP47" s="396" t="str">
        <f t="shared" si="15"/>
        <v/>
      </c>
      <c r="AR47" s="35" t="str">
        <f t="shared" si="16"/>
        <v>Sembunyikan</v>
      </c>
    </row>
    <row r="48" spans="2:44">
      <c r="B48" s="7">
        <v>39</v>
      </c>
      <c r="C48" s="7" t="str">
        <f>'Data Siswa'!C42&amp;""</f>
        <v/>
      </c>
      <c r="D48" s="11" t="str">
        <f>'Data Siswa'!F42&amp;""</f>
        <v/>
      </c>
      <c r="E48" s="434"/>
      <c r="F48" s="50"/>
      <c r="G48" s="50"/>
      <c r="H48" s="397" t="str">
        <f t="shared" si="1"/>
        <v/>
      </c>
      <c r="I48" s="50"/>
      <c r="J48" s="50"/>
      <c r="K48" s="397" t="str">
        <f t="shared" si="2"/>
        <v/>
      </c>
      <c r="L48" s="50"/>
      <c r="M48" s="50"/>
      <c r="N48" s="397" t="str">
        <f t="shared" si="3"/>
        <v/>
      </c>
      <c r="O48" s="50"/>
      <c r="P48" s="50"/>
      <c r="Q48" s="397" t="str">
        <f t="shared" si="4"/>
        <v/>
      </c>
      <c r="R48" s="50"/>
      <c r="S48" s="50"/>
      <c r="T48" s="397" t="str">
        <f t="shared" si="5"/>
        <v/>
      </c>
      <c r="U48" s="50"/>
      <c r="V48" s="50"/>
      <c r="W48" s="397" t="str">
        <f t="shared" si="6"/>
        <v/>
      </c>
      <c r="X48" s="50"/>
      <c r="Y48" s="50"/>
      <c r="Z48" s="397" t="str">
        <f t="shared" si="7"/>
        <v/>
      </c>
      <c r="AA48" s="50"/>
      <c r="AB48" s="50"/>
      <c r="AC48" s="397" t="str">
        <f t="shared" si="8"/>
        <v/>
      </c>
      <c r="AD48" s="50"/>
      <c r="AE48" s="50"/>
      <c r="AF48" s="397" t="str">
        <f t="shared" si="9"/>
        <v/>
      </c>
      <c r="AG48" s="49"/>
      <c r="AH48" s="50"/>
      <c r="AI48" s="397" t="str">
        <f t="shared" si="10"/>
        <v/>
      </c>
      <c r="AJ48" s="50"/>
      <c r="AK48" s="50"/>
      <c r="AL48" s="397" t="str">
        <f t="shared" si="11"/>
        <v/>
      </c>
      <c r="AM48" s="396" t="str">
        <f t="shared" si="12"/>
        <v/>
      </c>
      <c r="AN48" s="396" t="str">
        <f t="shared" si="13"/>
        <v/>
      </c>
      <c r="AO48" s="396" t="str">
        <f t="shared" si="14"/>
        <v/>
      </c>
      <c r="AP48" s="396" t="str">
        <f t="shared" si="15"/>
        <v/>
      </c>
      <c r="AR48" s="35" t="str">
        <f t="shared" si="16"/>
        <v>Sembunyikan</v>
      </c>
    </row>
    <row r="49" spans="2:44">
      <c r="B49" s="7">
        <v>40</v>
      </c>
      <c r="C49" s="7" t="str">
        <f>'Data Siswa'!C43&amp;""</f>
        <v/>
      </c>
      <c r="D49" s="11" t="str">
        <f>'Data Siswa'!F43&amp;""</f>
        <v/>
      </c>
      <c r="E49" s="434"/>
      <c r="F49" s="50"/>
      <c r="G49" s="50"/>
      <c r="H49" s="397" t="str">
        <f t="shared" si="1"/>
        <v/>
      </c>
      <c r="I49" s="50"/>
      <c r="J49" s="50"/>
      <c r="K49" s="397" t="str">
        <f t="shared" si="2"/>
        <v/>
      </c>
      <c r="L49" s="50"/>
      <c r="M49" s="50"/>
      <c r="N49" s="397" t="str">
        <f t="shared" si="3"/>
        <v/>
      </c>
      <c r="O49" s="50"/>
      <c r="P49" s="50"/>
      <c r="Q49" s="397" t="str">
        <f t="shared" si="4"/>
        <v/>
      </c>
      <c r="R49" s="50"/>
      <c r="S49" s="50"/>
      <c r="T49" s="397" t="str">
        <f t="shared" si="5"/>
        <v/>
      </c>
      <c r="U49" s="50"/>
      <c r="V49" s="50"/>
      <c r="W49" s="397" t="str">
        <f t="shared" si="6"/>
        <v/>
      </c>
      <c r="X49" s="50"/>
      <c r="Y49" s="50"/>
      <c r="Z49" s="397" t="str">
        <f t="shared" si="7"/>
        <v/>
      </c>
      <c r="AA49" s="50"/>
      <c r="AB49" s="50"/>
      <c r="AC49" s="397" t="str">
        <f t="shared" si="8"/>
        <v/>
      </c>
      <c r="AD49" s="50"/>
      <c r="AE49" s="50"/>
      <c r="AF49" s="397" t="str">
        <f t="shared" si="9"/>
        <v/>
      </c>
      <c r="AG49" s="49"/>
      <c r="AH49" s="50"/>
      <c r="AI49" s="397" t="str">
        <f t="shared" si="10"/>
        <v/>
      </c>
      <c r="AJ49" s="50"/>
      <c r="AK49" s="50"/>
      <c r="AL49" s="397" t="str">
        <f t="shared" si="11"/>
        <v/>
      </c>
      <c r="AM49" s="396" t="str">
        <f t="shared" si="12"/>
        <v/>
      </c>
      <c r="AN49" s="396" t="str">
        <f t="shared" si="13"/>
        <v/>
      </c>
      <c r="AO49" s="396" t="str">
        <f t="shared" si="14"/>
        <v/>
      </c>
      <c r="AP49" s="396" t="str">
        <f t="shared" si="15"/>
        <v/>
      </c>
      <c r="AR49" s="35" t="str">
        <f t="shared" si="16"/>
        <v>Sembunyikan</v>
      </c>
    </row>
    <row r="50" spans="2:44">
      <c r="B50" s="7">
        <v>41</v>
      </c>
      <c r="C50" s="7" t="str">
        <f>'Data Siswa'!C44&amp;""</f>
        <v/>
      </c>
      <c r="D50" s="11" t="str">
        <f>'Data Siswa'!F44&amp;""</f>
        <v/>
      </c>
      <c r="E50" s="434"/>
      <c r="F50" s="50"/>
      <c r="G50" s="50"/>
      <c r="H50" s="397" t="str">
        <f t="shared" si="1"/>
        <v/>
      </c>
      <c r="I50" s="50"/>
      <c r="J50" s="50"/>
      <c r="K50" s="397" t="str">
        <f t="shared" si="2"/>
        <v/>
      </c>
      <c r="L50" s="50"/>
      <c r="M50" s="50"/>
      <c r="N50" s="397" t="str">
        <f t="shared" si="3"/>
        <v/>
      </c>
      <c r="O50" s="50"/>
      <c r="P50" s="50"/>
      <c r="Q50" s="397" t="str">
        <f t="shared" si="4"/>
        <v/>
      </c>
      <c r="R50" s="50"/>
      <c r="S50" s="50"/>
      <c r="T50" s="397" t="str">
        <f t="shared" si="5"/>
        <v/>
      </c>
      <c r="U50" s="50"/>
      <c r="V50" s="50"/>
      <c r="W50" s="397" t="str">
        <f t="shared" si="6"/>
        <v/>
      </c>
      <c r="X50" s="50"/>
      <c r="Y50" s="50"/>
      <c r="Z50" s="397" t="str">
        <f t="shared" si="7"/>
        <v/>
      </c>
      <c r="AA50" s="50"/>
      <c r="AB50" s="50"/>
      <c r="AC50" s="397" t="str">
        <f t="shared" si="8"/>
        <v/>
      </c>
      <c r="AD50" s="50"/>
      <c r="AE50" s="50"/>
      <c r="AF50" s="397" t="str">
        <f t="shared" si="9"/>
        <v/>
      </c>
      <c r="AG50" s="49"/>
      <c r="AH50" s="50"/>
      <c r="AI50" s="397" t="str">
        <f t="shared" si="10"/>
        <v/>
      </c>
      <c r="AJ50" s="50"/>
      <c r="AK50" s="50"/>
      <c r="AL50" s="397" t="str">
        <f t="shared" si="11"/>
        <v/>
      </c>
      <c r="AM50" s="396" t="str">
        <f t="shared" si="12"/>
        <v/>
      </c>
      <c r="AN50" s="396" t="str">
        <f t="shared" si="13"/>
        <v/>
      </c>
      <c r="AO50" s="396" t="str">
        <f t="shared" si="14"/>
        <v/>
      </c>
      <c r="AP50" s="396" t="str">
        <f t="shared" si="15"/>
        <v/>
      </c>
      <c r="AR50" s="35" t="str">
        <f t="shared" si="16"/>
        <v>Sembunyikan</v>
      </c>
    </row>
    <row r="51" spans="2:44">
      <c r="B51" s="7">
        <v>42</v>
      </c>
      <c r="C51" s="7" t="str">
        <f>'Data Siswa'!C45&amp;""</f>
        <v/>
      </c>
      <c r="D51" s="11" t="str">
        <f>'Data Siswa'!F45&amp;""</f>
        <v/>
      </c>
      <c r="E51" s="434"/>
      <c r="F51" s="50"/>
      <c r="G51" s="50"/>
      <c r="H51" s="397" t="str">
        <f t="shared" si="1"/>
        <v/>
      </c>
      <c r="I51" s="50"/>
      <c r="J51" s="50"/>
      <c r="K51" s="397" t="str">
        <f t="shared" si="2"/>
        <v/>
      </c>
      <c r="L51" s="50"/>
      <c r="M51" s="50"/>
      <c r="N51" s="397" t="str">
        <f t="shared" si="3"/>
        <v/>
      </c>
      <c r="O51" s="50"/>
      <c r="P51" s="50"/>
      <c r="Q51" s="397" t="str">
        <f t="shared" si="4"/>
        <v/>
      </c>
      <c r="R51" s="50"/>
      <c r="S51" s="50"/>
      <c r="T51" s="397" t="str">
        <f t="shared" si="5"/>
        <v/>
      </c>
      <c r="U51" s="50"/>
      <c r="V51" s="50"/>
      <c r="W51" s="397" t="str">
        <f t="shared" si="6"/>
        <v/>
      </c>
      <c r="X51" s="50"/>
      <c r="Y51" s="50"/>
      <c r="Z51" s="397" t="str">
        <f t="shared" si="7"/>
        <v/>
      </c>
      <c r="AA51" s="50"/>
      <c r="AB51" s="50"/>
      <c r="AC51" s="397" t="str">
        <f t="shared" si="8"/>
        <v/>
      </c>
      <c r="AD51" s="50"/>
      <c r="AE51" s="50"/>
      <c r="AF51" s="397" t="str">
        <f t="shared" si="9"/>
        <v/>
      </c>
      <c r="AG51" s="49"/>
      <c r="AH51" s="50"/>
      <c r="AI51" s="397" t="str">
        <f t="shared" si="10"/>
        <v/>
      </c>
      <c r="AJ51" s="50"/>
      <c r="AK51" s="50"/>
      <c r="AL51" s="397" t="str">
        <f t="shared" si="11"/>
        <v/>
      </c>
      <c r="AM51" s="396" t="str">
        <f t="shared" si="12"/>
        <v/>
      </c>
      <c r="AN51" s="396" t="str">
        <f t="shared" si="13"/>
        <v/>
      </c>
      <c r="AO51" s="396" t="str">
        <f t="shared" si="14"/>
        <v/>
      </c>
      <c r="AP51" s="396" t="str">
        <f t="shared" si="15"/>
        <v/>
      </c>
      <c r="AR51" s="35" t="str">
        <f t="shared" si="16"/>
        <v>Sembunyikan</v>
      </c>
    </row>
    <row r="52" spans="2:44">
      <c r="B52" s="7">
        <v>43</v>
      </c>
      <c r="C52" s="7" t="str">
        <f>'Data Siswa'!C46&amp;""</f>
        <v/>
      </c>
      <c r="D52" s="11" t="str">
        <f>'Data Siswa'!F46&amp;""</f>
        <v/>
      </c>
      <c r="E52" s="434"/>
      <c r="F52" s="50"/>
      <c r="G52" s="50"/>
      <c r="H52" s="397" t="str">
        <f t="shared" si="1"/>
        <v/>
      </c>
      <c r="I52" s="50"/>
      <c r="J52" s="50"/>
      <c r="K52" s="397" t="str">
        <f t="shared" si="2"/>
        <v/>
      </c>
      <c r="L52" s="50"/>
      <c r="M52" s="50"/>
      <c r="N52" s="397" t="str">
        <f t="shared" si="3"/>
        <v/>
      </c>
      <c r="O52" s="50"/>
      <c r="P52" s="50"/>
      <c r="Q52" s="397" t="str">
        <f t="shared" si="4"/>
        <v/>
      </c>
      <c r="R52" s="50"/>
      <c r="S52" s="50"/>
      <c r="T52" s="397" t="str">
        <f t="shared" si="5"/>
        <v/>
      </c>
      <c r="U52" s="50"/>
      <c r="V52" s="50"/>
      <c r="W52" s="397" t="str">
        <f t="shared" si="6"/>
        <v/>
      </c>
      <c r="X52" s="50"/>
      <c r="Y52" s="50"/>
      <c r="Z52" s="397" t="str">
        <f t="shared" si="7"/>
        <v/>
      </c>
      <c r="AA52" s="50"/>
      <c r="AB52" s="50"/>
      <c r="AC52" s="397" t="str">
        <f t="shared" si="8"/>
        <v/>
      </c>
      <c r="AD52" s="50"/>
      <c r="AE52" s="50"/>
      <c r="AF52" s="397" t="str">
        <f t="shared" si="9"/>
        <v/>
      </c>
      <c r="AG52" s="49"/>
      <c r="AH52" s="50"/>
      <c r="AI52" s="397" t="str">
        <f t="shared" si="10"/>
        <v/>
      </c>
      <c r="AJ52" s="50"/>
      <c r="AK52" s="50"/>
      <c r="AL52" s="397" t="str">
        <f t="shared" si="11"/>
        <v/>
      </c>
      <c r="AM52" s="396" t="str">
        <f t="shared" si="12"/>
        <v/>
      </c>
      <c r="AN52" s="396" t="str">
        <f t="shared" si="13"/>
        <v/>
      </c>
      <c r="AO52" s="396" t="str">
        <f t="shared" si="14"/>
        <v/>
      </c>
      <c r="AP52" s="396" t="str">
        <f t="shared" si="15"/>
        <v/>
      </c>
      <c r="AR52" s="35" t="str">
        <f t="shared" si="16"/>
        <v>Sembunyikan</v>
      </c>
    </row>
    <row r="53" spans="2:44">
      <c r="B53" s="7">
        <v>44</v>
      </c>
      <c r="C53" s="7" t="str">
        <f>'Data Siswa'!C47&amp;""</f>
        <v/>
      </c>
      <c r="D53" s="11" t="str">
        <f>'Data Siswa'!F47&amp;""</f>
        <v/>
      </c>
      <c r="E53" s="434"/>
      <c r="F53" s="50"/>
      <c r="G53" s="50"/>
      <c r="H53" s="397" t="str">
        <f t="shared" si="1"/>
        <v/>
      </c>
      <c r="I53" s="50"/>
      <c r="J53" s="50"/>
      <c r="K53" s="397" t="str">
        <f t="shared" si="2"/>
        <v/>
      </c>
      <c r="L53" s="50"/>
      <c r="M53" s="50"/>
      <c r="N53" s="397" t="str">
        <f t="shared" si="3"/>
        <v/>
      </c>
      <c r="O53" s="50"/>
      <c r="P53" s="50"/>
      <c r="Q53" s="397" t="str">
        <f t="shared" si="4"/>
        <v/>
      </c>
      <c r="R53" s="50"/>
      <c r="S53" s="50"/>
      <c r="T53" s="397" t="str">
        <f t="shared" si="5"/>
        <v/>
      </c>
      <c r="U53" s="50"/>
      <c r="V53" s="50"/>
      <c r="W53" s="397" t="str">
        <f t="shared" si="6"/>
        <v/>
      </c>
      <c r="X53" s="50"/>
      <c r="Y53" s="50"/>
      <c r="Z53" s="397" t="str">
        <f t="shared" si="7"/>
        <v/>
      </c>
      <c r="AA53" s="50"/>
      <c r="AB53" s="50"/>
      <c r="AC53" s="397" t="str">
        <f t="shared" si="8"/>
        <v/>
      </c>
      <c r="AD53" s="50"/>
      <c r="AE53" s="50"/>
      <c r="AF53" s="397" t="str">
        <f t="shared" si="9"/>
        <v/>
      </c>
      <c r="AG53" s="49"/>
      <c r="AH53" s="50"/>
      <c r="AI53" s="397" t="str">
        <f t="shared" si="10"/>
        <v/>
      </c>
      <c r="AJ53" s="50"/>
      <c r="AK53" s="50"/>
      <c r="AL53" s="397" t="str">
        <f t="shared" si="11"/>
        <v/>
      </c>
      <c r="AM53" s="396" t="str">
        <f t="shared" si="12"/>
        <v/>
      </c>
      <c r="AN53" s="396" t="str">
        <f t="shared" si="13"/>
        <v/>
      </c>
      <c r="AO53" s="396" t="str">
        <f t="shared" si="14"/>
        <v/>
      </c>
      <c r="AP53" s="396" t="str">
        <f t="shared" si="15"/>
        <v/>
      </c>
      <c r="AR53" s="35" t="str">
        <f t="shared" si="16"/>
        <v>Sembunyikan</v>
      </c>
    </row>
    <row r="54" spans="2:44">
      <c r="B54" s="7">
        <v>45</v>
      </c>
      <c r="C54" s="7" t="str">
        <f>'Data Siswa'!C48&amp;""</f>
        <v/>
      </c>
      <c r="D54" s="11" t="str">
        <f>'Data Siswa'!F48&amp;""</f>
        <v/>
      </c>
      <c r="E54" s="434"/>
      <c r="F54" s="50"/>
      <c r="G54" s="50"/>
      <c r="H54" s="397" t="str">
        <f t="shared" si="1"/>
        <v/>
      </c>
      <c r="I54" s="50"/>
      <c r="J54" s="50"/>
      <c r="K54" s="397" t="str">
        <f t="shared" si="2"/>
        <v/>
      </c>
      <c r="L54" s="50"/>
      <c r="M54" s="50"/>
      <c r="N54" s="397" t="str">
        <f t="shared" si="3"/>
        <v/>
      </c>
      <c r="O54" s="50"/>
      <c r="P54" s="50"/>
      <c r="Q54" s="397" t="str">
        <f t="shared" si="4"/>
        <v/>
      </c>
      <c r="R54" s="50"/>
      <c r="S54" s="50"/>
      <c r="T54" s="397" t="str">
        <f t="shared" si="5"/>
        <v/>
      </c>
      <c r="U54" s="50"/>
      <c r="V54" s="50"/>
      <c r="W54" s="397" t="str">
        <f t="shared" si="6"/>
        <v/>
      </c>
      <c r="X54" s="50"/>
      <c r="Y54" s="50"/>
      <c r="Z54" s="397" t="str">
        <f t="shared" si="7"/>
        <v/>
      </c>
      <c r="AA54" s="50"/>
      <c r="AB54" s="50"/>
      <c r="AC54" s="397" t="str">
        <f t="shared" si="8"/>
        <v/>
      </c>
      <c r="AD54" s="50"/>
      <c r="AE54" s="50"/>
      <c r="AF54" s="397" t="str">
        <f t="shared" si="9"/>
        <v/>
      </c>
      <c r="AG54" s="49"/>
      <c r="AH54" s="50"/>
      <c r="AI54" s="397" t="str">
        <f t="shared" si="10"/>
        <v/>
      </c>
      <c r="AJ54" s="50"/>
      <c r="AK54" s="50"/>
      <c r="AL54" s="397" t="str">
        <f t="shared" si="11"/>
        <v/>
      </c>
      <c r="AM54" s="396" t="str">
        <f t="shared" si="12"/>
        <v/>
      </c>
      <c r="AN54" s="396" t="str">
        <f t="shared" si="13"/>
        <v/>
      </c>
      <c r="AO54" s="396" t="str">
        <f t="shared" si="14"/>
        <v/>
      </c>
      <c r="AP54" s="396" t="str">
        <f t="shared" si="15"/>
        <v/>
      </c>
      <c r="AR54" s="35" t="str">
        <f t="shared" si="16"/>
        <v>Sembunyikan</v>
      </c>
    </row>
    <row r="55" spans="2:44">
      <c r="B55" s="7">
        <v>46</v>
      </c>
      <c r="C55" s="7" t="str">
        <f>'Data Siswa'!C49&amp;""</f>
        <v/>
      </c>
      <c r="D55" s="11" t="str">
        <f>'Data Siswa'!F49&amp;""</f>
        <v/>
      </c>
      <c r="E55" s="434"/>
      <c r="F55" s="50"/>
      <c r="G55" s="50"/>
      <c r="H55" s="397" t="str">
        <f t="shared" si="1"/>
        <v/>
      </c>
      <c r="I55" s="50"/>
      <c r="J55" s="50"/>
      <c r="K55" s="397" t="str">
        <f t="shared" si="2"/>
        <v/>
      </c>
      <c r="L55" s="50"/>
      <c r="M55" s="50"/>
      <c r="N55" s="397" t="str">
        <f t="shared" si="3"/>
        <v/>
      </c>
      <c r="O55" s="50"/>
      <c r="P55" s="50"/>
      <c r="Q55" s="397" t="str">
        <f t="shared" si="4"/>
        <v/>
      </c>
      <c r="R55" s="50"/>
      <c r="S55" s="50"/>
      <c r="T55" s="397" t="str">
        <f t="shared" si="5"/>
        <v/>
      </c>
      <c r="U55" s="50"/>
      <c r="V55" s="50"/>
      <c r="W55" s="397" t="str">
        <f t="shared" si="6"/>
        <v/>
      </c>
      <c r="X55" s="50"/>
      <c r="Y55" s="50"/>
      <c r="Z55" s="397" t="str">
        <f t="shared" si="7"/>
        <v/>
      </c>
      <c r="AA55" s="50"/>
      <c r="AB55" s="50"/>
      <c r="AC55" s="397" t="str">
        <f t="shared" si="8"/>
        <v/>
      </c>
      <c r="AD55" s="50"/>
      <c r="AE55" s="50"/>
      <c r="AF55" s="397" t="str">
        <f t="shared" si="9"/>
        <v/>
      </c>
      <c r="AG55" s="49"/>
      <c r="AH55" s="50"/>
      <c r="AI55" s="397" t="str">
        <f t="shared" si="10"/>
        <v/>
      </c>
      <c r="AJ55" s="50"/>
      <c r="AK55" s="50"/>
      <c r="AL55" s="397" t="str">
        <f t="shared" si="11"/>
        <v/>
      </c>
      <c r="AM55" s="396" t="str">
        <f t="shared" si="12"/>
        <v/>
      </c>
      <c r="AN55" s="396" t="str">
        <f t="shared" si="13"/>
        <v/>
      </c>
      <c r="AO55" s="396" t="str">
        <f t="shared" si="14"/>
        <v/>
      </c>
      <c r="AP55" s="396" t="str">
        <f t="shared" si="15"/>
        <v/>
      </c>
      <c r="AR55" s="35" t="str">
        <f t="shared" si="16"/>
        <v>Sembunyikan</v>
      </c>
    </row>
    <row r="56" spans="2:44">
      <c r="B56" s="7">
        <v>47</v>
      </c>
      <c r="C56" s="7" t="str">
        <f>'Data Siswa'!C50&amp;""</f>
        <v/>
      </c>
      <c r="D56" s="11" t="str">
        <f>'Data Siswa'!F50&amp;""</f>
        <v/>
      </c>
      <c r="E56" s="434"/>
      <c r="F56" s="50"/>
      <c r="G56" s="50"/>
      <c r="H56" s="397" t="str">
        <f t="shared" si="1"/>
        <v/>
      </c>
      <c r="I56" s="50"/>
      <c r="J56" s="50"/>
      <c r="K56" s="397" t="str">
        <f t="shared" si="2"/>
        <v/>
      </c>
      <c r="L56" s="50"/>
      <c r="M56" s="50"/>
      <c r="N56" s="397" t="str">
        <f t="shared" si="3"/>
        <v/>
      </c>
      <c r="O56" s="50"/>
      <c r="P56" s="50"/>
      <c r="Q56" s="397" t="str">
        <f t="shared" si="4"/>
        <v/>
      </c>
      <c r="R56" s="50"/>
      <c r="S56" s="50"/>
      <c r="T56" s="397" t="str">
        <f t="shared" si="5"/>
        <v/>
      </c>
      <c r="U56" s="50"/>
      <c r="V56" s="50"/>
      <c r="W56" s="397" t="str">
        <f t="shared" si="6"/>
        <v/>
      </c>
      <c r="X56" s="50"/>
      <c r="Y56" s="50"/>
      <c r="Z56" s="397" t="str">
        <f t="shared" si="7"/>
        <v/>
      </c>
      <c r="AA56" s="50"/>
      <c r="AB56" s="50"/>
      <c r="AC56" s="397" t="str">
        <f t="shared" si="8"/>
        <v/>
      </c>
      <c r="AD56" s="50"/>
      <c r="AE56" s="50"/>
      <c r="AF56" s="397" t="str">
        <f t="shared" si="9"/>
        <v/>
      </c>
      <c r="AG56" s="49"/>
      <c r="AH56" s="50"/>
      <c r="AI56" s="397" t="str">
        <f t="shared" si="10"/>
        <v/>
      </c>
      <c r="AJ56" s="50"/>
      <c r="AK56" s="50"/>
      <c r="AL56" s="397" t="str">
        <f t="shared" si="11"/>
        <v/>
      </c>
      <c r="AM56" s="396" t="str">
        <f t="shared" si="12"/>
        <v/>
      </c>
      <c r="AN56" s="396" t="str">
        <f t="shared" si="13"/>
        <v/>
      </c>
      <c r="AO56" s="396" t="str">
        <f t="shared" si="14"/>
        <v/>
      </c>
      <c r="AP56" s="396" t="str">
        <f t="shared" si="15"/>
        <v/>
      </c>
      <c r="AR56" s="35" t="str">
        <f t="shared" si="16"/>
        <v>Sembunyikan</v>
      </c>
    </row>
    <row r="57" spans="2:44">
      <c r="B57" s="7">
        <v>48</v>
      </c>
      <c r="C57" s="7" t="str">
        <f>'Data Siswa'!C51&amp;""</f>
        <v/>
      </c>
      <c r="D57" s="11" t="str">
        <f>'Data Siswa'!F51&amp;""</f>
        <v/>
      </c>
      <c r="E57" s="434"/>
      <c r="F57" s="50"/>
      <c r="G57" s="50"/>
      <c r="H57" s="397" t="str">
        <f t="shared" si="1"/>
        <v/>
      </c>
      <c r="I57" s="50"/>
      <c r="J57" s="50"/>
      <c r="K57" s="397" t="str">
        <f t="shared" si="2"/>
        <v/>
      </c>
      <c r="L57" s="50"/>
      <c r="M57" s="50"/>
      <c r="N57" s="397" t="str">
        <f t="shared" si="3"/>
        <v/>
      </c>
      <c r="O57" s="50"/>
      <c r="P57" s="50"/>
      <c r="Q57" s="397" t="str">
        <f t="shared" si="4"/>
        <v/>
      </c>
      <c r="R57" s="50"/>
      <c r="S57" s="50"/>
      <c r="T57" s="397" t="str">
        <f t="shared" si="5"/>
        <v/>
      </c>
      <c r="U57" s="50"/>
      <c r="V57" s="50"/>
      <c r="W57" s="397" t="str">
        <f t="shared" si="6"/>
        <v/>
      </c>
      <c r="X57" s="50"/>
      <c r="Y57" s="50"/>
      <c r="Z57" s="397" t="str">
        <f t="shared" si="7"/>
        <v/>
      </c>
      <c r="AA57" s="50"/>
      <c r="AB57" s="50"/>
      <c r="AC57" s="397" t="str">
        <f t="shared" si="8"/>
        <v/>
      </c>
      <c r="AD57" s="50"/>
      <c r="AE57" s="50"/>
      <c r="AF57" s="397" t="str">
        <f t="shared" si="9"/>
        <v/>
      </c>
      <c r="AG57" s="49"/>
      <c r="AH57" s="50"/>
      <c r="AI57" s="397" t="str">
        <f t="shared" si="10"/>
        <v/>
      </c>
      <c r="AJ57" s="50"/>
      <c r="AK57" s="50"/>
      <c r="AL57" s="397" t="str">
        <f t="shared" si="11"/>
        <v/>
      </c>
      <c r="AM57" s="396" t="str">
        <f t="shared" si="12"/>
        <v/>
      </c>
      <c r="AN57" s="396" t="str">
        <f t="shared" si="13"/>
        <v/>
      </c>
      <c r="AO57" s="396" t="str">
        <f t="shared" si="14"/>
        <v/>
      </c>
      <c r="AP57" s="396" t="str">
        <f t="shared" si="15"/>
        <v/>
      </c>
      <c r="AR57" s="35" t="str">
        <f t="shared" si="16"/>
        <v>Sembunyikan</v>
      </c>
    </row>
    <row r="58" spans="2:44">
      <c r="B58" s="7">
        <v>49</v>
      </c>
      <c r="C58" s="7" t="str">
        <f>'Data Siswa'!C52&amp;""</f>
        <v/>
      </c>
      <c r="D58" s="11" t="str">
        <f>'Data Siswa'!F52&amp;""</f>
        <v/>
      </c>
      <c r="E58" s="434"/>
      <c r="F58" s="50"/>
      <c r="G58" s="50"/>
      <c r="H58" s="397" t="str">
        <f t="shared" si="1"/>
        <v/>
      </c>
      <c r="I58" s="50"/>
      <c r="J58" s="50"/>
      <c r="K58" s="397" t="str">
        <f t="shared" si="2"/>
        <v/>
      </c>
      <c r="L58" s="50"/>
      <c r="M58" s="50"/>
      <c r="N58" s="397" t="str">
        <f t="shared" si="3"/>
        <v/>
      </c>
      <c r="O58" s="50"/>
      <c r="P58" s="50"/>
      <c r="Q58" s="397" t="str">
        <f t="shared" si="4"/>
        <v/>
      </c>
      <c r="R58" s="50"/>
      <c r="S58" s="50"/>
      <c r="T58" s="397" t="str">
        <f t="shared" si="5"/>
        <v/>
      </c>
      <c r="U58" s="50"/>
      <c r="V58" s="50"/>
      <c r="W58" s="397" t="str">
        <f t="shared" si="6"/>
        <v/>
      </c>
      <c r="X58" s="50"/>
      <c r="Y58" s="50"/>
      <c r="Z58" s="397" t="str">
        <f t="shared" si="7"/>
        <v/>
      </c>
      <c r="AA58" s="50"/>
      <c r="AB58" s="50"/>
      <c r="AC58" s="397" t="str">
        <f t="shared" si="8"/>
        <v/>
      </c>
      <c r="AD58" s="50"/>
      <c r="AE58" s="50"/>
      <c r="AF58" s="397" t="str">
        <f t="shared" si="9"/>
        <v/>
      </c>
      <c r="AG58" s="49"/>
      <c r="AH58" s="50"/>
      <c r="AI58" s="397" t="str">
        <f t="shared" si="10"/>
        <v/>
      </c>
      <c r="AJ58" s="50"/>
      <c r="AK58" s="50"/>
      <c r="AL58" s="397" t="str">
        <f t="shared" si="11"/>
        <v/>
      </c>
      <c r="AM58" s="396" t="str">
        <f t="shared" si="12"/>
        <v/>
      </c>
      <c r="AN58" s="396" t="str">
        <f t="shared" si="13"/>
        <v/>
      </c>
      <c r="AO58" s="396" t="str">
        <f t="shared" si="14"/>
        <v/>
      </c>
      <c r="AP58" s="396" t="str">
        <f t="shared" si="15"/>
        <v/>
      </c>
      <c r="AR58" s="35" t="str">
        <f t="shared" si="16"/>
        <v>Sembunyikan</v>
      </c>
    </row>
    <row r="59" spans="2:44">
      <c r="B59" s="7">
        <v>50</v>
      </c>
      <c r="C59" s="7" t="str">
        <f>'Data Siswa'!C53&amp;""</f>
        <v/>
      </c>
      <c r="D59" s="11" t="str">
        <f>'Data Siswa'!F53&amp;""</f>
        <v/>
      </c>
      <c r="E59" s="435"/>
      <c r="F59" s="50"/>
      <c r="G59" s="50"/>
      <c r="H59" s="397" t="str">
        <f t="shared" si="1"/>
        <v/>
      </c>
      <c r="I59" s="50"/>
      <c r="J59" s="50"/>
      <c r="K59" s="397" t="str">
        <f t="shared" si="2"/>
        <v/>
      </c>
      <c r="L59" s="50"/>
      <c r="M59" s="50"/>
      <c r="N59" s="397" t="str">
        <f t="shared" si="3"/>
        <v/>
      </c>
      <c r="O59" s="50"/>
      <c r="P59" s="50"/>
      <c r="Q59" s="397" t="str">
        <f t="shared" si="4"/>
        <v/>
      </c>
      <c r="R59" s="50"/>
      <c r="S59" s="50"/>
      <c r="T59" s="397" t="str">
        <f t="shared" si="5"/>
        <v/>
      </c>
      <c r="U59" s="50"/>
      <c r="V59" s="50"/>
      <c r="W59" s="397" t="str">
        <f t="shared" si="6"/>
        <v/>
      </c>
      <c r="X59" s="50"/>
      <c r="Y59" s="50"/>
      <c r="Z59" s="397" t="str">
        <f t="shared" si="7"/>
        <v/>
      </c>
      <c r="AA59" s="50"/>
      <c r="AB59" s="50"/>
      <c r="AC59" s="397" t="str">
        <f t="shared" si="8"/>
        <v/>
      </c>
      <c r="AD59" s="50"/>
      <c r="AE59" s="50"/>
      <c r="AF59" s="397" t="str">
        <f t="shared" si="9"/>
        <v/>
      </c>
      <c r="AG59" s="49"/>
      <c r="AH59" s="50"/>
      <c r="AI59" s="397" t="str">
        <f t="shared" si="10"/>
        <v/>
      </c>
      <c r="AJ59" s="50"/>
      <c r="AK59" s="50"/>
      <c r="AL59" s="397" t="str">
        <f t="shared" si="11"/>
        <v/>
      </c>
      <c r="AM59" s="396" t="str">
        <f t="shared" si="12"/>
        <v/>
      </c>
      <c r="AN59" s="396" t="str">
        <f t="shared" si="13"/>
        <v/>
      </c>
      <c r="AO59" s="396" t="str">
        <f t="shared" si="14"/>
        <v/>
      </c>
      <c r="AP59" s="396" t="str">
        <f t="shared" si="15"/>
        <v/>
      </c>
      <c r="AR59" s="35" t="str">
        <f t="shared" si="16"/>
        <v>Sembunyikan</v>
      </c>
    </row>
    <row r="61" spans="2:44">
      <c r="AD61" s="1" t="str">
        <f>Kabupaten&amp;", "&amp;TEXT(Tanggal,"DD MMMM YYYY")</f>
        <v>Wonogiri, 15 Juni 2022</v>
      </c>
    </row>
    <row r="62" spans="2:44">
      <c r="AD62" s="1" t="str">
        <f>"Kepala"&amp;" "&amp;Nama_Sekolah</f>
        <v>Kepala Sekolah Dasar Negeri 1 Giriharjo</v>
      </c>
    </row>
    <row r="63" spans="2:44">
      <c r="B63" s="213" t="s">
        <v>177</v>
      </c>
    </row>
    <row r="64" spans="2:44">
      <c r="B64" s="21" t="s">
        <v>178</v>
      </c>
    </row>
    <row r="66" spans="2:31">
      <c r="AD66" s="37">
        <f>Kepsek</f>
        <v>0</v>
      </c>
      <c r="AE66" s="37"/>
    </row>
    <row r="67" spans="2:31">
      <c r="AD67" s="36">
        <f>NIP_Kepsek</f>
        <v>0</v>
      </c>
      <c r="AE67" s="36"/>
    </row>
    <row r="71" spans="2:31">
      <c r="B71" s="192" t="s">
        <v>134</v>
      </c>
    </row>
  </sheetData>
  <sheetProtection password="CC5B" sheet="1" objects="1" scenarios="1" formatCells="0" formatColumns="0" autoFilter="0"/>
  <autoFilter ref="AR8:AR59"/>
  <mergeCells count="30">
    <mergeCell ref="AM7:AN8"/>
    <mergeCell ref="Z7:Z9"/>
    <mergeCell ref="AF7:AF9"/>
    <mergeCell ref="AC7:AC9"/>
    <mergeCell ref="R8:S8"/>
    <mergeCell ref="AI7:AI9"/>
    <mergeCell ref="AG8:AH8"/>
    <mergeCell ref="B1:AP1"/>
    <mergeCell ref="U8:V8"/>
    <mergeCell ref="X8:Y8"/>
    <mergeCell ref="AA8:AB8"/>
    <mergeCell ref="AD8:AE8"/>
    <mergeCell ref="AO7:AO9"/>
    <mergeCell ref="AP7:AP9"/>
    <mergeCell ref="N7:N9"/>
    <mergeCell ref="Q7:Q9"/>
    <mergeCell ref="B7:B9"/>
    <mergeCell ref="C7:C9"/>
    <mergeCell ref="D7:D9"/>
    <mergeCell ref="AL7:AL9"/>
    <mergeCell ref="T7:T9"/>
    <mergeCell ref="W7:W9"/>
    <mergeCell ref="AJ8:AK8"/>
    <mergeCell ref="E10:E59"/>
    <mergeCell ref="F8:G8"/>
    <mergeCell ref="I8:J8"/>
    <mergeCell ref="L8:M8"/>
    <mergeCell ref="O8:P8"/>
    <mergeCell ref="H7:H9"/>
    <mergeCell ref="K7:K9"/>
  </mergeCells>
  <conditionalFormatting sqref="F12:F59">
    <cfRule type="cellIs" dxfId="722" priority="90" operator="lessThan">
      <formula>$F$7</formula>
    </cfRule>
  </conditionalFormatting>
  <conditionalFormatting sqref="G11:G59">
    <cfRule type="cellIs" dxfId="721" priority="89" operator="lessThan">
      <formula>$G$7</formula>
    </cfRule>
  </conditionalFormatting>
  <conditionalFormatting sqref="I11:I59">
    <cfRule type="cellIs" dxfId="720" priority="88" operator="lessThan">
      <formula>$I$7</formula>
    </cfRule>
  </conditionalFormatting>
  <conditionalFormatting sqref="J11:J59">
    <cfRule type="cellIs" dxfId="719" priority="87" operator="lessThan">
      <formula>$J$7</formula>
    </cfRule>
  </conditionalFormatting>
  <conditionalFormatting sqref="L11:L59">
    <cfRule type="cellIs" dxfId="718" priority="86" operator="lessThan">
      <formula>$L$7</formula>
    </cfRule>
  </conditionalFormatting>
  <conditionalFormatting sqref="M11:M59">
    <cfRule type="cellIs" dxfId="717" priority="85" operator="lessThan">
      <formula>$M$7</formula>
    </cfRule>
  </conditionalFormatting>
  <conditionalFormatting sqref="O11:O59">
    <cfRule type="cellIs" dxfId="716" priority="84" operator="lessThan">
      <formula>$O$7</formula>
    </cfRule>
  </conditionalFormatting>
  <conditionalFormatting sqref="P11:P59">
    <cfRule type="cellIs" dxfId="715" priority="83" operator="lessThan">
      <formula>$P$7</formula>
    </cfRule>
  </conditionalFormatting>
  <conditionalFormatting sqref="R11:R59">
    <cfRule type="cellIs" dxfId="714" priority="82" operator="lessThan">
      <formula>$R$7</formula>
    </cfRule>
  </conditionalFormatting>
  <conditionalFormatting sqref="S11:S59">
    <cfRule type="cellIs" dxfId="713" priority="81" operator="lessThan">
      <formula>$S$7</formula>
    </cfRule>
  </conditionalFormatting>
  <conditionalFormatting sqref="U11:U59">
    <cfRule type="cellIs" dxfId="712" priority="80" operator="lessThan">
      <formula>$U$7</formula>
    </cfRule>
  </conditionalFormatting>
  <conditionalFormatting sqref="V11:V59">
    <cfRule type="cellIs" dxfId="711" priority="79" operator="lessThan">
      <formula>$V$7</formula>
    </cfRule>
  </conditionalFormatting>
  <conditionalFormatting sqref="X11:X59">
    <cfRule type="cellIs" dxfId="710" priority="78" operator="lessThan">
      <formula>$X$7</formula>
    </cfRule>
  </conditionalFormatting>
  <conditionalFormatting sqref="Y11:Y59">
    <cfRule type="cellIs" dxfId="709" priority="77" operator="lessThan">
      <formula>$Y$7</formula>
    </cfRule>
  </conditionalFormatting>
  <conditionalFormatting sqref="AA11:AA59">
    <cfRule type="cellIs" dxfId="708" priority="76" operator="lessThan">
      <formula>$AA$7</formula>
    </cfRule>
  </conditionalFormatting>
  <conditionalFormatting sqref="AB11:AB59">
    <cfRule type="cellIs" dxfId="707" priority="75" operator="lessThan">
      <formula>$AB$7</formula>
    </cfRule>
  </conditionalFormatting>
  <conditionalFormatting sqref="AD11:AD59">
    <cfRule type="cellIs" dxfId="706" priority="74" operator="lessThan">
      <formula>$AD$7</formula>
    </cfRule>
  </conditionalFormatting>
  <conditionalFormatting sqref="AE11:AE59">
    <cfRule type="cellIs" dxfId="705" priority="73" operator="lessThan">
      <formula>$AE$7</formula>
    </cfRule>
  </conditionalFormatting>
  <conditionalFormatting sqref="AG10:AG59">
    <cfRule type="cellIs" dxfId="704" priority="72" operator="lessThan">
      <formula>$AG$7</formula>
    </cfRule>
  </conditionalFormatting>
  <conditionalFormatting sqref="AH10:AH59">
    <cfRule type="cellIs" dxfId="703" priority="71" operator="lessThan">
      <formula>$AH$7</formula>
    </cfRule>
  </conditionalFormatting>
  <conditionalFormatting sqref="AJ10:AJ59">
    <cfRule type="cellIs" dxfId="702" priority="70" operator="lessThan">
      <formula>$AJ$7</formula>
    </cfRule>
  </conditionalFormatting>
  <conditionalFormatting sqref="AK10:AK59">
    <cfRule type="cellIs" dxfId="701" priority="69" operator="lessThan">
      <formula>$AK$7</formula>
    </cfRule>
  </conditionalFormatting>
  <conditionalFormatting sqref="F12:F59">
    <cfRule type="cellIs" dxfId="700" priority="68" operator="lessThan">
      <formula>$F$7</formula>
    </cfRule>
  </conditionalFormatting>
  <conditionalFormatting sqref="G11:G59">
    <cfRule type="cellIs" dxfId="699" priority="67" operator="lessThan">
      <formula>$G$7</formula>
    </cfRule>
  </conditionalFormatting>
  <conditionalFormatting sqref="I11:I59">
    <cfRule type="cellIs" dxfId="698" priority="66" operator="lessThan">
      <formula>$I$7</formula>
    </cfRule>
  </conditionalFormatting>
  <conditionalFormatting sqref="J11:J59">
    <cfRule type="cellIs" dxfId="697" priority="65" operator="lessThan">
      <formula>$J$7</formula>
    </cfRule>
  </conditionalFormatting>
  <conditionalFormatting sqref="L11:L59">
    <cfRule type="cellIs" dxfId="696" priority="64" operator="lessThan">
      <formula>$L$7</formula>
    </cfRule>
  </conditionalFormatting>
  <conditionalFormatting sqref="M11:M59">
    <cfRule type="cellIs" dxfId="695" priority="63" operator="lessThan">
      <formula>$M$7</formula>
    </cfRule>
  </conditionalFormatting>
  <conditionalFormatting sqref="O11:O59">
    <cfRule type="cellIs" dxfId="694" priority="62" operator="lessThan">
      <formula>$O$7</formula>
    </cfRule>
  </conditionalFormatting>
  <conditionalFormatting sqref="P11:P59">
    <cfRule type="cellIs" dxfId="693" priority="61" operator="lessThan">
      <formula>$P$7</formula>
    </cfRule>
  </conditionalFormatting>
  <conditionalFormatting sqref="R11:R59">
    <cfRule type="cellIs" dxfId="692" priority="60" operator="lessThan">
      <formula>$R$7</formula>
    </cfRule>
  </conditionalFormatting>
  <conditionalFormatting sqref="S11:S59">
    <cfRule type="cellIs" dxfId="691" priority="59" operator="lessThan">
      <formula>$S$7</formula>
    </cfRule>
  </conditionalFormatting>
  <conditionalFormatting sqref="U11:U59">
    <cfRule type="cellIs" dxfId="690" priority="58" operator="lessThan">
      <formula>$U$7</formula>
    </cfRule>
  </conditionalFormatting>
  <conditionalFormatting sqref="V11:V59">
    <cfRule type="cellIs" dxfId="689" priority="57" operator="lessThan">
      <formula>$V$7</formula>
    </cfRule>
  </conditionalFormatting>
  <conditionalFormatting sqref="X11:X59">
    <cfRule type="cellIs" dxfId="688" priority="56" operator="lessThan">
      <formula>$X$7</formula>
    </cfRule>
  </conditionalFormatting>
  <conditionalFormatting sqref="Y11:Y59">
    <cfRule type="cellIs" dxfId="687" priority="55" operator="lessThan">
      <formula>$Y$7</formula>
    </cfRule>
  </conditionalFormatting>
  <conditionalFormatting sqref="AA11:AA59">
    <cfRule type="cellIs" dxfId="686" priority="54" operator="lessThan">
      <formula>$AA$7</formula>
    </cfRule>
  </conditionalFormatting>
  <conditionalFormatting sqref="AB11:AB59">
    <cfRule type="cellIs" dxfId="685" priority="53" operator="lessThan">
      <formula>$AB$7</formula>
    </cfRule>
  </conditionalFormatting>
  <conditionalFormatting sqref="AD11:AD59">
    <cfRule type="cellIs" dxfId="684" priority="52" operator="lessThan">
      <formula>$AD$7</formula>
    </cfRule>
  </conditionalFormatting>
  <conditionalFormatting sqref="AE11:AE59">
    <cfRule type="cellIs" dxfId="683" priority="51" operator="lessThan">
      <formula>$AE$7</formula>
    </cfRule>
  </conditionalFormatting>
  <conditionalFormatting sqref="AG10:AG59">
    <cfRule type="cellIs" dxfId="682" priority="50" operator="lessThan">
      <formula>$AG$7</formula>
    </cfRule>
  </conditionalFormatting>
  <conditionalFormatting sqref="AH10:AH59">
    <cfRule type="cellIs" dxfId="681" priority="49" operator="lessThan">
      <formula>$AH$7</formula>
    </cfRule>
  </conditionalFormatting>
  <conditionalFormatting sqref="AJ10:AJ59">
    <cfRule type="cellIs" dxfId="680" priority="48" operator="lessThan">
      <formula>$AJ$7</formula>
    </cfRule>
  </conditionalFormatting>
  <conditionalFormatting sqref="AK10:AK59">
    <cfRule type="cellIs" dxfId="679" priority="47" operator="lessThan">
      <formula>$AK$7</formula>
    </cfRule>
  </conditionalFormatting>
  <conditionalFormatting sqref="F11">
    <cfRule type="cellIs" dxfId="678" priority="46" operator="lessThan">
      <formula>$F$7</formula>
    </cfRule>
  </conditionalFormatting>
  <conditionalFormatting sqref="F11">
    <cfRule type="cellIs" dxfId="677" priority="45" operator="lessThan">
      <formula>$F$7</formula>
    </cfRule>
  </conditionalFormatting>
  <conditionalFormatting sqref="F10">
    <cfRule type="cellIs" dxfId="676" priority="36" operator="lessThan">
      <formula>$F$7</formula>
    </cfRule>
  </conditionalFormatting>
  <conditionalFormatting sqref="G10">
    <cfRule type="cellIs" dxfId="675" priority="35" operator="lessThan">
      <formula>$G$7</formula>
    </cfRule>
  </conditionalFormatting>
  <conditionalFormatting sqref="I10">
    <cfRule type="cellIs" dxfId="674" priority="34" operator="lessThan">
      <formula>$I$7</formula>
    </cfRule>
  </conditionalFormatting>
  <conditionalFormatting sqref="J10">
    <cfRule type="cellIs" dxfId="673" priority="33" operator="lessThan">
      <formula>$J$7</formula>
    </cfRule>
  </conditionalFormatting>
  <conditionalFormatting sqref="O10">
    <cfRule type="cellIs" dxfId="672" priority="32" operator="lessThan">
      <formula>$O$7</formula>
    </cfRule>
  </conditionalFormatting>
  <conditionalFormatting sqref="P10">
    <cfRule type="cellIs" dxfId="671" priority="31" operator="lessThan">
      <formula>$P$7</formula>
    </cfRule>
  </conditionalFormatting>
  <conditionalFormatting sqref="R10">
    <cfRule type="cellIs" dxfId="670" priority="30" operator="lessThan">
      <formula>$R$7</formula>
    </cfRule>
  </conditionalFormatting>
  <conditionalFormatting sqref="S10">
    <cfRule type="cellIs" dxfId="669" priority="29" operator="lessThan">
      <formula>$S$7</formula>
    </cfRule>
  </conditionalFormatting>
  <conditionalFormatting sqref="U10">
    <cfRule type="cellIs" dxfId="668" priority="28" operator="lessThan">
      <formula>$U$7</formula>
    </cfRule>
  </conditionalFormatting>
  <conditionalFormatting sqref="V10">
    <cfRule type="cellIs" dxfId="667" priority="27" operator="lessThan">
      <formula>$V$7</formula>
    </cfRule>
  </conditionalFormatting>
  <conditionalFormatting sqref="X10">
    <cfRule type="cellIs" dxfId="666" priority="26" operator="lessThan">
      <formula>$X$7</formula>
    </cfRule>
  </conditionalFormatting>
  <conditionalFormatting sqref="Y10">
    <cfRule type="cellIs" dxfId="665" priority="25" operator="lessThan">
      <formula>$Y$7</formula>
    </cfRule>
  </conditionalFormatting>
  <conditionalFormatting sqref="AA10">
    <cfRule type="cellIs" dxfId="664" priority="24" operator="lessThan">
      <formula>$AA$7</formula>
    </cfRule>
  </conditionalFormatting>
  <conditionalFormatting sqref="AB10">
    <cfRule type="cellIs" dxfId="663" priority="23" operator="lessThan">
      <formula>$AB$7</formula>
    </cfRule>
  </conditionalFormatting>
  <conditionalFormatting sqref="AD10">
    <cfRule type="cellIs" dxfId="662" priority="22" operator="lessThan">
      <formula>$AD$7</formula>
    </cfRule>
  </conditionalFormatting>
  <conditionalFormatting sqref="AE10">
    <cfRule type="cellIs" dxfId="661" priority="21" operator="lessThan">
      <formula>$AE$7</formula>
    </cfRule>
  </conditionalFormatting>
  <conditionalFormatting sqref="F10">
    <cfRule type="cellIs" dxfId="660" priority="20" operator="lessThan">
      <formula>$F$7</formula>
    </cfRule>
  </conditionalFormatting>
  <conditionalFormatting sqref="G10">
    <cfRule type="cellIs" dxfId="659" priority="19" operator="lessThan">
      <formula>$G$7</formula>
    </cfRule>
  </conditionalFormatting>
  <conditionalFormatting sqref="I10">
    <cfRule type="cellIs" dxfId="658" priority="18" operator="lessThan">
      <formula>$I$7</formula>
    </cfRule>
  </conditionalFormatting>
  <conditionalFormatting sqref="J10">
    <cfRule type="cellIs" dxfId="657" priority="17" operator="lessThan">
      <formula>$J$7</formula>
    </cfRule>
  </conditionalFormatting>
  <conditionalFormatting sqref="O10">
    <cfRule type="cellIs" dxfId="656" priority="16" operator="lessThan">
      <formula>$O$7</formula>
    </cfRule>
  </conditionalFormatting>
  <conditionalFormatting sqref="P10">
    <cfRule type="cellIs" dxfId="655" priority="15" operator="lessThan">
      <formula>$P$7</formula>
    </cfRule>
  </conditionalFormatting>
  <conditionalFormatting sqref="R10">
    <cfRule type="cellIs" dxfId="654" priority="14" operator="lessThan">
      <formula>$R$7</formula>
    </cfRule>
  </conditionalFormatting>
  <conditionalFormatting sqref="S10">
    <cfRule type="cellIs" dxfId="653" priority="13" operator="lessThan">
      <formula>$S$7</formula>
    </cfRule>
  </conditionalFormatting>
  <conditionalFormatting sqref="U10">
    <cfRule type="cellIs" dxfId="652" priority="12" operator="lessThan">
      <formula>$U$7</formula>
    </cfRule>
  </conditionalFormatting>
  <conditionalFormatting sqref="V10">
    <cfRule type="cellIs" dxfId="651" priority="11" operator="lessThan">
      <formula>$V$7</formula>
    </cfRule>
  </conditionalFormatting>
  <conditionalFormatting sqref="X10">
    <cfRule type="cellIs" dxfId="650" priority="10" operator="lessThan">
      <formula>$X$7</formula>
    </cfRule>
  </conditionalFormatting>
  <conditionalFormatting sqref="Y10">
    <cfRule type="cellIs" dxfId="649" priority="9" operator="lessThan">
      <formula>$Y$7</formula>
    </cfRule>
  </conditionalFormatting>
  <conditionalFormatting sqref="AA10">
    <cfRule type="cellIs" dxfId="648" priority="8" operator="lessThan">
      <formula>$AA$7</formula>
    </cfRule>
  </conditionalFormatting>
  <conditionalFormatting sqref="AB10">
    <cfRule type="cellIs" dxfId="647" priority="7" operator="lessThan">
      <formula>$AB$7</formula>
    </cfRule>
  </conditionalFormatting>
  <conditionalFormatting sqref="AD10">
    <cfRule type="cellIs" dxfId="646" priority="6" operator="lessThan">
      <formula>$AD$7</formula>
    </cfRule>
  </conditionalFormatting>
  <conditionalFormatting sqref="AE10">
    <cfRule type="cellIs" dxfId="645" priority="5" operator="lessThan">
      <formula>$AE$7</formula>
    </cfRule>
  </conditionalFormatting>
  <conditionalFormatting sqref="L10">
    <cfRule type="cellIs" dxfId="644" priority="4" operator="lessThan">
      <formula>$L$7</formula>
    </cfRule>
  </conditionalFormatting>
  <conditionalFormatting sqref="M10">
    <cfRule type="cellIs" dxfId="643" priority="3" operator="lessThan">
      <formula>$M$7</formula>
    </cfRule>
  </conditionalFormatting>
  <conditionalFormatting sqref="L10">
    <cfRule type="cellIs" dxfId="642" priority="2" operator="lessThan">
      <formula>$L$7</formula>
    </cfRule>
  </conditionalFormatting>
  <conditionalFormatting sqref="M10">
    <cfRule type="cellIs" dxfId="641" priority="1" operator="lessThan">
      <formula>$M$7</formula>
    </cfRule>
  </conditionalFormatting>
  <dataValidations count="2">
    <dataValidation type="decimal" allowBlank="1" showInputMessage="1" showErrorMessage="1" error="LIHAT PENGATURAN NILAI !" sqref="U7:V7 AJ7:AK7 F7:G7 AG7:AH7 AD7:AE7 R7:S7 L7:M7 AA7:AB7 X7:Y7 I7:J7 O7:P7 AA11:AB59 X11:Y59 U11:V59 R11:S59 O11:P59 L11:M59 I11:J59 F11:G59 AG10:AH59 AJ10:AK59 AD11:AE59">
      <formula1>$AW$12</formula1>
      <formula2>$AW$13</formula2>
    </dataValidation>
    <dataValidation type="decimal" allowBlank="1" showInputMessage="1" showErrorMessage="1" error="LIHAT PENGATURAN NILAI !" sqref="AD10:AE10 AA10:AB10 X10:Y10 U10:V10 R10:S10 O10:P10 L10:M10 I10:J10 F10:G10">
      <formula1>$AU$12</formula1>
      <formula2>$AU$13</formula2>
    </dataValidation>
  </dataValidations>
  <pageMargins left="0.31496062992125984" right="1.3779527559055118" top="0.35433070866141736" bottom="0.15748031496062992" header="0.31496062992125984" footer="0.31496062992125984"/>
  <pageSetup paperSize="5" scale="55" orientation="landscape" blackAndWhite="1" horizontalDpi="4294967293" vertic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71"/>
  <sheetViews>
    <sheetView showGridLines="0" zoomScale="90" zoomScaleNormal="90" zoomScaleSheetLayoutView="8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D25" sqref="D25"/>
    </sheetView>
  </sheetViews>
  <sheetFormatPr defaultColWidth="0" defaultRowHeight="14.5"/>
  <cols>
    <col min="1" max="1" width="2.1796875" style="1" customWidth="1"/>
    <col min="2" max="2" width="5.26953125" style="1" customWidth="1"/>
    <col min="3" max="3" width="7.81640625" style="1" customWidth="1"/>
    <col min="4" max="4" width="32.54296875" style="1" customWidth="1"/>
    <col min="5" max="5" width="8.81640625" style="1" customWidth="1"/>
    <col min="6" max="38" width="6.1796875" style="1" customWidth="1"/>
    <col min="39" max="40" width="12" style="1" bestFit="1" customWidth="1"/>
    <col min="41" max="41" width="8" style="1" bestFit="1" customWidth="1"/>
    <col min="42" max="42" width="12" style="1" bestFit="1" customWidth="1"/>
    <col min="43" max="43" width="2.81640625" style="1" customWidth="1"/>
    <col min="44" max="44" width="11.1796875" style="1" customWidth="1"/>
    <col min="45" max="45" width="3.26953125" style="1" customWidth="1"/>
    <col min="46" max="46" width="2.1796875" style="1" customWidth="1"/>
    <col min="47" max="47" width="3.54296875" style="1" customWidth="1"/>
    <col min="48" max="48" width="19" style="1" customWidth="1"/>
    <col min="49" max="49" width="9.1796875" style="1" customWidth="1"/>
    <col min="50" max="50" width="2.453125" style="1" customWidth="1"/>
    <col min="51" max="16384" width="9.1796875" style="1" hidden="1"/>
  </cols>
  <sheetData>
    <row r="1" spans="2:49" ht="20">
      <c r="B1" s="447" t="s">
        <v>199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  <c r="AG1" s="447"/>
      <c r="AH1" s="447"/>
      <c r="AI1" s="447"/>
      <c r="AJ1" s="447"/>
      <c r="AK1" s="447"/>
      <c r="AL1" s="447"/>
      <c r="AM1" s="447"/>
      <c r="AN1" s="447"/>
      <c r="AO1" s="447"/>
      <c r="AP1" s="447"/>
    </row>
    <row r="2" spans="2:49" ht="6.65" customHeight="1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2:49" ht="15" customHeight="1">
      <c r="D3" s="27" t="s">
        <v>13</v>
      </c>
      <c r="E3" s="27"/>
      <c r="F3" s="29" t="s">
        <v>67</v>
      </c>
      <c r="G3" s="28" t="str">
        <f>UPPER(Nama_Sekolah)</f>
        <v>SEKOLAH DASAR NEGERI 1 GIRIHARJO</v>
      </c>
      <c r="H3" s="29"/>
      <c r="J3" s="28"/>
      <c r="K3" s="29"/>
      <c r="L3" s="213"/>
      <c r="M3" s="213"/>
      <c r="N3" s="29"/>
      <c r="O3" s="213"/>
      <c r="P3" s="213"/>
      <c r="Q3" s="29"/>
      <c r="R3" s="213"/>
      <c r="S3" s="213"/>
      <c r="T3" s="29"/>
      <c r="W3" s="29"/>
      <c r="Z3" s="29"/>
      <c r="AC3" s="29"/>
      <c r="AF3" s="29"/>
      <c r="AI3" s="29"/>
      <c r="AL3" s="29"/>
      <c r="AM3" s="29"/>
      <c r="AN3" s="29"/>
    </row>
    <row r="4" spans="2:49">
      <c r="D4" s="27" t="s">
        <v>14</v>
      </c>
      <c r="E4" s="27"/>
      <c r="F4" s="29" t="s">
        <v>67</v>
      </c>
      <c r="G4" s="28" t="str">
        <f>NPSN</f>
        <v>20311583</v>
      </c>
      <c r="H4" s="29"/>
      <c r="J4" s="28"/>
      <c r="K4" s="29"/>
      <c r="L4" s="213"/>
      <c r="M4" s="213"/>
      <c r="N4" s="29"/>
      <c r="O4" s="213"/>
      <c r="P4" s="213"/>
      <c r="Q4" s="29"/>
      <c r="R4" s="213"/>
      <c r="S4" s="213"/>
      <c r="T4" s="29"/>
      <c r="W4" s="29"/>
      <c r="Z4" s="29"/>
      <c r="AC4" s="29"/>
      <c r="AF4" s="29"/>
      <c r="AI4" s="29"/>
      <c r="AL4" s="29"/>
      <c r="AM4" s="29"/>
      <c r="AN4" s="29"/>
    </row>
    <row r="5" spans="2:49">
      <c r="D5" s="27" t="s">
        <v>68</v>
      </c>
      <c r="E5" s="27"/>
      <c r="F5" s="29" t="s">
        <v>67</v>
      </c>
      <c r="G5" s="28" t="str">
        <f>Kecamatan&amp;", "&amp;Kabupaten&amp;", "&amp;Provinsi</f>
        <v>Puhpelem, Wonogiri, Jawa Tengah</v>
      </c>
      <c r="H5" s="29"/>
      <c r="J5" s="28"/>
      <c r="K5" s="29"/>
      <c r="L5" s="213"/>
      <c r="M5" s="213"/>
      <c r="N5" s="29"/>
      <c r="O5" s="213"/>
      <c r="P5" s="213"/>
      <c r="Q5" s="29"/>
      <c r="R5" s="213"/>
      <c r="S5" s="213"/>
      <c r="T5" s="29"/>
      <c r="W5" s="29"/>
      <c r="Z5" s="29"/>
      <c r="AC5" s="29"/>
      <c r="AF5" s="29"/>
      <c r="AI5" s="29"/>
      <c r="AL5" s="29"/>
      <c r="AM5" s="29"/>
      <c r="AN5" s="29"/>
    </row>
    <row r="6" spans="2:49" ht="9" customHeight="1">
      <c r="D6" s="21"/>
      <c r="E6" s="21"/>
      <c r="F6" s="23"/>
      <c r="G6" s="23"/>
      <c r="H6" s="23"/>
      <c r="I6" s="22"/>
      <c r="J6" s="22"/>
      <c r="K6" s="23"/>
      <c r="N6" s="23"/>
      <c r="Q6" s="23"/>
      <c r="T6" s="23"/>
      <c r="W6" s="23"/>
      <c r="Z6" s="23"/>
      <c r="AC6" s="23"/>
      <c r="AF6" s="23"/>
      <c r="AI6" s="23"/>
      <c r="AL6" s="23"/>
      <c r="AM6" s="23"/>
      <c r="AN6" s="23"/>
    </row>
    <row r="7" spans="2:49" ht="17.25" customHeight="1">
      <c r="B7" s="459" t="s">
        <v>7</v>
      </c>
      <c r="C7" s="461" t="s">
        <v>43</v>
      </c>
      <c r="D7" s="459" t="s">
        <v>8</v>
      </c>
      <c r="E7" s="32" t="s">
        <v>66</v>
      </c>
      <c r="F7" s="51">
        <v>71</v>
      </c>
      <c r="G7" s="51">
        <v>71</v>
      </c>
      <c r="H7" s="444" t="s">
        <v>173</v>
      </c>
      <c r="I7" s="51">
        <v>71</v>
      </c>
      <c r="J7" s="51">
        <v>71</v>
      </c>
      <c r="K7" s="444" t="s">
        <v>173</v>
      </c>
      <c r="L7" s="51">
        <v>71</v>
      </c>
      <c r="M7" s="51">
        <v>71</v>
      </c>
      <c r="N7" s="444" t="s">
        <v>173</v>
      </c>
      <c r="O7" s="51">
        <v>65</v>
      </c>
      <c r="P7" s="51">
        <v>75</v>
      </c>
      <c r="Q7" s="444" t="s">
        <v>173</v>
      </c>
      <c r="R7" s="51">
        <v>70</v>
      </c>
      <c r="S7" s="51">
        <v>75</v>
      </c>
      <c r="T7" s="444" t="s">
        <v>173</v>
      </c>
      <c r="U7" s="51">
        <v>71</v>
      </c>
      <c r="V7" s="51">
        <v>71</v>
      </c>
      <c r="W7" s="444" t="s">
        <v>173</v>
      </c>
      <c r="X7" s="51">
        <v>71</v>
      </c>
      <c r="Y7" s="51">
        <v>71</v>
      </c>
      <c r="Z7" s="444" t="s">
        <v>173</v>
      </c>
      <c r="AA7" s="51">
        <v>71</v>
      </c>
      <c r="AB7" s="51">
        <v>71</v>
      </c>
      <c r="AC7" s="444" t="s">
        <v>173</v>
      </c>
      <c r="AD7" s="51">
        <v>71</v>
      </c>
      <c r="AE7" s="51">
        <v>71</v>
      </c>
      <c r="AF7" s="444" t="s">
        <v>173</v>
      </c>
      <c r="AG7" s="51">
        <v>71</v>
      </c>
      <c r="AH7" s="51">
        <v>71</v>
      </c>
      <c r="AI7" s="444" t="s">
        <v>173</v>
      </c>
      <c r="AJ7" s="51">
        <v>71</v>
      </c>
      <c r="AK7" s="51">
        <v>71</v>
      </c>
      <c r="AL7" s="444" t="s">
        <v>173</v>
      </c>
      <c r="AM7" s="465" t="s">
        <v>10</v>
      </c>
      <c r="AN7" s="466"/>
      <c r="AO7" s="455" t="s">
        <v>9</v>
      </c>
      <c r="AP7" s="457" t="s">
        <v>10</v>
      </c>
    </row>
    <row r="8" spans="2:49">
      <c r="B8" s="460"/>
      <c r="C8" s="462"/>
      <c r="D8" s="460"/>
      <c r="E8" s="32" t="s">
        <v>69</v>
      </c>
      <c r="F8" s="436" t="str">
        <f>PENGATURAN!F5</f>
        <v>Agama</v>
      </c>
      <c r="G8" s="437"/>
      <c r="H8" s="445"/>
      <c r="I8" s="438" t="str">
        <f>PENGATURAN!F6</f>
        <v>PKn</v>
      </c>
      <c r="J8" s="439"/>
      <c r="K8" s="445"/>
      <c r="L8" s="440" t="str">
        <f>PENGATURAN!F7</f>
        <v>B. Ind.</v>
      </c>
      <c r="M8" s="441"/>
      <c r="N8" s="445"/>
      <c r="O8" s="442" t="str">
        <f>PENGATURAN!F8</f>
        <v>MTK</v>
      </c>
      <c r="P8" s="443"/>
      <c r="Q8" s="445"/>
      <c r="R8" s="469" t="str">
        <f>PENGATURAN!F9</f>
        <v>IPA</v>
      </c>
      <c r="S8" s="470"/>
      <c r="T8" s="445"/>
      <c r="U8" s="448" t="str">
        <f>PENGATURAN!F10</f>
        <v xml:space="preserve">IPS </v>
      </c>
      <c r="V8" s="449"/>
      <c r="W8" s="445"/>
      <c r="X8" s="450" t="str">
        <f>PENGATURAN!F11</f>
        <v>SBdP</v>
      </c>
      <c r="Y8" s="449"/>
      <c r="Z8" s="445"/>
      <c r="AA8" s="451" t="str">
        <f>PENGATURAN!F12</f>
        <v>PJOK</v>
      </c>
      <c r="AB8" s="452"/>
      <c r="AC8" s="445"/>
      <c r="AD8" s="453" t="str">
        <f>PENGATURAN!F16</f>
        <v>Bahasa Jawa</v>
      </c>
      <c r="AE8" s="454"/>
      <c r="AF8" s="445"/>
      <c r="AG8" s="471">
        <f>PENGATURAN!F17</f>
        <v>0</v>
      </c>
      <c r="AH8" s="472"/>
      <c r="AI8" s="445"/>
      <c r="AJ8" s="463">
        <f>PENGATURAN!F18</f>
        <v>0</v>
      </c>
      <c r="AK8" s="464"/>
      <c r="AL8" s="445"/>
      <c r="AM8" s="467"/>
      <c r="AN8" s="468"/>
      <c r="AO8" s="456"/>
      <c r="AP8" s="458"/>
      <c r="AR8" s="34" t="s">
        <v>71</v>
      </c>
    </row>
    <row r="9" spans="2:49" ht="16" thickBot="1">
      <c r="B9" s="460"/>
      <c r="C9" s="462"/>
      <c r="D9" s="460"/>
      <c r="E9" s="220" t="s">
        <v>175</v>
      </c>
      <c r="F9" s="224" t="s">
        <v>171</v>
      </c>
      <c r="G9" s="223" t="s">
        <v>172</v>
      </c>
      <c r="H9" s="446"/>
      <c r="I9" s="222" t="s">
        <v>171</v>
      </c>
      <c r="J9" s="223" t="s">
        <v>172</v>
      </c>
      <c r="K9" s="446"/>
      <c r="L9" s="222" t="s">
        <v>171</v>
      </c>
      <c r="M9" s="223" t="s">
        <v>172</v>
      </c>
      <c r="N9" s="446"/>
      <c r="O9" s="222" t="s">
        <v>171</v>
      </c>
      <c r="P9" s="223" t="s">
        <v>172</v>
      </c>
      <c r="Q9" s="446"/>
      <c r="R9" s="222" t="s">
        <v>171</v>
      </c>
      <c r="S9" s="223" t="s">
        <v>172</v>
      </c>
      <c r="T9" s="446"/>
      <c r="U9" s="222" t="s">
        <v>171</v>
      </c>
      <c r="V9" s="223" t="s">
        <v>172</v>
      </c>
      <c r="W9" s="446"/>
      <c r="X9" s="222" t="s">
        <v>171</v>
      </c>
      <c r="Y9" s="223" t="s">
        <v>172</v>
      </c>
      <c r="Z9" s="446"/>
      <c r="AA9" s="222" t="s">
        <v>171</v>
      </c>
      <c r="AB9" s="223" t="s">
        <v>172</v>
      </c>
      <c r="AC9" s="446"/>
      <c r="AD9" s="222" t="s">
        <v>171</v>
      </c>
      <c r="AE9" s="223" t="s">
        <v>172</v>
      </c>
      <c r="AF9" s="446"/>
      <c r="AG9" s="222" t="s">
        <v>171</v>
      </c>
      <c r="AH9" s="223" t="s">
        <v>172</v>
      </c>
      <c r="AI9" s="446"/>
      <c r="AJ9" s="222" t="s">
        <v>171</v>
      </c>
      <c r="AK9" s="223" t="s">
        <v>172</v>
      </c>
      <c r="AL9" s="446"/>
      <c r="AM9" s="222" t="s">
        <v>171</v>
      </c>
      <c r="AN9" s="223" t="s">
        <v>172</v>
      </c>
      <c r="AO9" s="473"/>
      <c r="AP9" s="474"/>
      <c r="AR9" s="35" t="s">
        <v>176</v>
      </c>
    </row>
    <row r="10" spans="2:49" ht="15" thickTop="1">
      <c r="B10" s="226">
        <v>1</v>
      </c>
      <c r="C10" s="226" t="str">
        <f>'Data Siswa'!C4&amp;""</f>
        <v>2887</v>
      </c>
      <c r="D10" s="227" t="str">
        <f>'Data Siswa'!F4&amp;""</f>
        <v/>
      </c>
      <c r="E10" s="433"/>
      <c r="F10" s="194">
        <v>98</v>
      </c>
      <c r="G10" s="194">
        <v>90</v>
      </c>
      <c r="H10" s="398">
        <f>IFERROR(AVERAGE(F10:G10),"")</f>
        <v>94</v>
      </c>
      <c r="I10" s="194">
        <v>91</v>
      </c>
      <c r="J10" s="194">
        <v>89</v>
      </c>
      <c r="K10" s="398">
        <f>IFERROR(AVERAGE(I10:J10),"")</f>
        <v>90</v>
      </c>
      <c r="L10" s="294">
        <v>89</v>
      </c>
      <c r="M10" s="294">
        <v>89</v>
      </c>
      <c r="N10" s="398">
        <f>IFERROR(AVERAGE(L10:M10),"")</f>
        <v>89</v>
      </c>
      <c r="O10" s="194">
        <v>87</v>
      </c>
      <c r="P10" s="194">
        <v>85</v>
      </c>
      <c r="Q10" s="398">
        <f>IFERROR(AVERAGE(O10:P10),"")</f>
        <v>86</v>
      </c>
      <c r="R10" s="194">
        <v>85</v>
      </c>
      <c r="S10" s="194">
        <v>82</v>
      </c>
      <c r="T10" s="398">
        <f>IFERROR(AVERAGE(R10:S10),"")</f>
        <v>83.5</v>
      </c>
      <c r="U10" s="194">
        <v>82</v>
      </c>
      <c r="V10" s="194">
        <v>83</v>
      </c>
      <c r="W10" s="398">
        <f>IFERROR(AVERAGE(U10:V10),"")</f>
        <v>82.5</v>
      </c>
      <c r="X10" s="194">
        <v>86</v>
      </c>
      <c r="Y10" s="194">
        <v>84</v>
      </c>
      <c r="Z10" s="398">
        <f>IFERROR(AVERAGE(X10:Y10),"")</f>
        <v>85</v>
      </c>
      <c r="AA10" s="194">
        <v>94</v>
      </c>
      <c r="AB10" s="194">
        <v>90</v>
      </c>
      <c r="AC10" s="398">
        <f>IFERROR(AVERAGE(AA10:AB10),"")</f>
        <v>92</v>
      </c>
      <c r="AD10" s="194">
        <v>90</v>
      </c>
      <c r="AE10" s="194">
        <v>90</v>
      </c>
      <c r="AF10" s="398">
        <f>IFERROR(AVERAGE(AD10:AE10),"")</f>
        <v>90</v>
      </c>
      <c r="AG10" s="49"/>
      <c r="AH10" s="49"/>
      <c r="AI10" s="398" t="str">
        <f>IFERROR(AVERAGE(AG10:AH10),"")</f>
        <v/>
      </c>
      <c r="AJ10" s="49"/>
      <c r="AK10" s="49"/>
      <c r="AL10" s="398" t="str">
        <f>IFERROR(AVERAGE(AJ10:AK10),"")</f>
        <v/>
      </c>
      <c r="AM10" s="396">
        <f>IFERROR(AVERAGE(F10,I10,L10,O10,R10,U10,X10,AA10,AD10,AG10,AJ10),"")</f>
        <v>89.111111111111114</v>
      </c>
      <c r="AN10" s="396">
        <f>IFERROR(AVERAGE(G10,J10,M10,P10,S10,V10,Y10,AB10,AE10,AH10,AK10),"")</f>
        <v>86.888888888888886</v>
      </c>
      <c r="AO10" s="396">
        <f>IF(SUM(H10,K10,N10,Q10,T10,W10,Z10,AC10,AF10,AI10,AL10)=0,"",SUM(H10,K10,N10,Q10,T10,W10,Z10,AC10,AF10,AI10,AL10))</f>
        <v>792</v>
      </c>
      <c r="AP10" s="396">
        <f>IFERROR(AVERAGE(H10,K10,N10,Q10,T10,W10,Z10,AC10,AF10,AI10,AL10),"")</f>
        <v>88</v>
      </c>
      <c r="AQ10" s="19"/>
      <c r="AR10" s="35" t="str">
        <f t="shared" ref="AR10:AR41" si="0">IF(D10="","Sembunyikan","Data")</f>
        <v>Sembunyikan</v>
      </c>
    </row>
    <row r="11" spans="2:49">
      <c r="B11" s="7">
        <v>2</v>
      </c>
      <c r="C11" s="7" t="str">
        <f>'Data Siswa'!C5&amp;""</f>
        <v>2888</v>
      </c>
      <c r="D11" s="11" t="str">
        <f>'Data Siswa'!F5&amp;""</f>
        <v/>
      </c>
      <c r="E11" s="434"/>
      <c r="F11" s="50">
        <v>85</v>
      </c>
      <c r="G11" s="50">
        <v>78</v>
      </c>
      <c r="H11" s="397">
        <f t="shared" ref="H11:H59" si="1">IFERROR(AVERAGE(F11:G11),"")</f>
        <v>81.5</v>
      </c>
      <c r="I11" s="50">
        <v>78</v>
      </c>
      <c r="J11" s="50">
        <v>76</v>
      </c>
      <c r="K11" s="397">
        <f t="shared" ref="K11:K59" si="2">IFERROR(AVERAGE(I11:J11),"")</f>
        <v>77</v>
      </c>
      <c r="L11" s="50">
        <v>74</v>
      </c>
      <c r="M11" s="50">
        <v>71</v>
      </c>
      <c r="N11" s="397">
        <f t="shared" ref="N11:N59" si="3">IFERROR(AVERAGE(L11:M11),"")</f>
        <v>72.5</v>
      </c>
      <c r="O11" s="50">
        <v>61</v>
      </c>
      <c r="P11" s="50">
        <v>60</v>
      </c>
      <c r="Q11" s="397">
        <f t="shared" ref="Q11:Q59" si="4">IFERROR(AVERAGE(O11:P11),"")</f>
        <v>60.5</v>
      </c>
      <c r="R11" s="50">
        <v>71</v>
      </c>
      <c r="S11" s="50">
        <v>73</v>
      </c>
      <c r="T11" s="397">
        <f t="shared" ref="T11:T59" si="5">IFERROR(AVERAGE(R11:S11),"")</f>
        <v>72</v>
      </c>
      <c r="U11" s="50">
        <v>70</v>
      </c>
      <c r="V11" s="50">
        <v>70</v>
      </c>
      <c r="W11" s="397">
        <f t="shared" ref="W11:W59" si="6">IFERROR(AVERAGE(U11:V11),"")</f>
        <v>70</v>
      </c>
      <c r="X11" s="50">
        <v>78</v>
      </c>
      <c r="Y11" s="50">
        <v>76</v>
      </c>
      <c r="Z11" s="397">
        <f t="shared" ref="Z11:Z59" si="7">IFERROR(AVERAGE(X11:Y11),"")</f>
        <v>77</v>
      </c>
      <c r="AA11" s="50">
        <v>75</v>
      </c>
      <c r="AB11" s="50">
        <v>75</v>
      </c>
      <c r="AC11" s="397">
        <f t="shared" ref="AC11:AC59" si="8">IFERROR(AVERAGE(AA11:AB11),"")</f>
        <v>75</v>
      </c>
      <c r="AD11" s="50">
        <v>71</v>
      </c>
      <c r="AE11" s="50">
        <v>70</v>
      </c>
      <c r="AF11" s="397">
        <f t="shared" ref="AF11:AF59" si="9">IFERROR(AVERAGE(AD11:AE11),"")</f>
        <v>70.5</v>
      </c>
      <c r="AG11" s="49"/>
      <c r="AH11" s="50"/>
      <c r="AI11" s="397" t="str">
        <f t="shared" ref="AI11:AI59" si="10">IFERROR(AVERAGE(AG11:AH11),"")</f>
        <v/>
      </c>
      <c r="AJ11" s="50"/>
      <c r="AK11" s="50"/>
      <c r="AL11" s="397" t="str">
        <f t="shared" ref="AL11:AL59" si="11">IFERROR(AVERAGE(AJ11:AK11),"")</f>
        <v/>
      </c>
      <c r="AM11" s="396">
        <f t="shared" ref="AM11:AN59" si="12">IFERROR(AVERAGE(F11,I11,L11,O11,R11,U11,X11,AA11,AD11,AG11,AJ11),"")</f>
        <v>73.666666666666671</v>
      </c>
      <c r="AN11" s="396">
        <f t="shared" si="12"/>
        <v>72.111111111111114</v>
      </c>
      <c r="AO11" s="396">
        <f t="shared" ref="AO11:AO59" si="13">IF(SUM(H11,K11,N11,Q11,T11,W11,Z11,AC11,AF11,AI11,AL11)=0,"",SUM(H11,K11,N11,Q11,T11,W11,Z11,AC11,AF11,AI11,AL11))</f>
        <v>656</v>
      </c>
      <c r="AP11" s="396">
        <f t="shared" ref="AP11:AP59" si="14">IFERROR(AVERAGE(H11,K11,N11,Q11,T11,W11,Z11,AC11,AF11,AI11,AL11),"")</f>
        <v>72.888888888888886</v>
      </c>
      <c r="AR11" s="35" t="str">
        <f t="shared" si="0"/>
        <v>Sembunyikan</v>
      </c>
      <c r="AV11" s="4" t="s">
        <v>46</v>
      </c>
      <c r="AW11" s="5"/>
    </row>
    <row r="12" spans="2:49">
      <c r="B12" s="7">
        <v>3</v>
      </c>
      <c r="C12" s="7" t="str">
        <f>'Data Siswa'!C6&amp;""</f>
        <v>2886</v>
      </c>
      <c r="D12" s="11" t="str">
        <f>'Data Siswa'!F6&amp;""</f>
        <v/>
      </c>
      <c r="E12" s="434"/>
      <c r="F12" s="50">
        <v>92</v>
      </c>
      <c r="G12" s="50">
        <v>79</v>
      </c>
      <c r="H12" s="397">
        <f t="shared" si="1"/>
        <v>85.5</v>
      </c>
      <c r="I12" s="50">
        <v>83</v>
      </c>
      <c r="J12" s="50">
        <v>80</v>
      </c>
      <c r="K12" s="397">
        <f t="shared" si="2"/>
        <v>81.5</v>
      </c>
      <c r="L12" s="50">
        <v>79</v>
      </c>
      <c r="M12" s="50">
        <v>72</v>
      </c>
      <c r="N12" s="397">
        <f t="shared" si="3"/>
        <v>75.5</v>
      </c>
      <c r="O12" s="50">
        <v>70</v>
      </c>
      <c r="P12" s="50">
        <v>70</v>
      </c>
      <c r="Q12" s="397">
        <f t="shared" si="4"/>
        <v>70</v>
      </c>
      <c r="R12" s="50">
        <v>81</v>
      </c>
      <c r="S12" s="50">
        <v>81</v>
      </c>
      <c r="T12" s="397">
        <f t="shared" si="5"/>
        <v>81</v>
      </c>
      <c r="U12" s="50">
        <v>74</v>
      </c>
      <c r="V12" s="50">
        <v>73</v>
      </c>
      <c r="W12" s="397">
        <f t="shared" si="6"/>
        <v>73.5</v>
      </c>
      <c r="X12" s="50">
        <v>80</v>
      </c>
      <c r="Y12" s="50">
        <v>80</v>
      </c>
      <c r="Z12" s="397">
        <f t="shared" si="7"/>
        <v>80</v>
      </c>
      <c r="AA12" s="50">
        <v>78</v>
      </c>
      <c r="AB12" s="50">
        <v>78</v>
      </c>
      <c r="AC12" s="397">
        <f t="shared" si="8"/>
        <v>78</v>
      </c>
      <c r="AD12" s="50">
        <v>80</v>
      </c>
      <c r="AE12" s="50">
        <v>76</v>
      </c>
      <c r="AF12" s="397">
        <f t="shared" si="9"/>
        <v>78</v>
      </c>
      <c r="AG12" s="49"/>
      <c r="AH12" s="50"/>
      <c r="AI12" s="397" t="str">
        <f t="shared" si="10"/>
        <v/>
      </c>
      <c r="AJ12" s="50"/>
      <c r="AK12" s="50"/>
      <c r="AL12" s="397" t="str">
        <f t="shared" si="11"/>
        <v/>
      </c>
      <c r="AM12" s="396">
        <f t="shared" si="12"/>
        <v>79.666666666666671</v>
      </c>
      <c r="AN12" s="396">
        <f t="shared" si="12"/>
        <v>76.555555555555557</v>
      </c>
      <c r="AO12" s="396">
        <f t="shared" si="13"/>
        <v>703</v>
      </c>
      <c r="AP12" s="396">
        <f t="shared" si="14"/>
        <v>78.111111111111114</v>
      </c>
      <c r="AR12" s="35" t="str">
        <f t="shared" si="0"/>
        <v>Sembunyikan</v>
      </c>
      <c r="AV12" s="6" t="s">
        <v>44</v>
      </c>
      <c r="AW12" s="2">
        <f>PENGATURAN!K5</f>
        <v>10</v>
      </c>
    </row>
    <row r="13" spans="2:49">
      <c r="B13" s="7">
        <v>4</v>
      </c>
      <c r="C13" s="7" t="str">
        <f>'Data Siswa'!C7&amp;""</f>
        <v>2864</v>
      </c>
      <c r="D13" s="11" t="str">
        <f>'Data Siswa'!F7&amp;""</f>
        <v/>
      </c>
      <c r="E13" s="434"/>
      <c r="F13" s="50">
        <v>83</v>
      </c>
      <c r="G13" s="50">
        <v>77</v>
      </c>
      <c r="H13" s="397">
        <f t="shared" si="1"/>
        <v>80</v>
      </c>
      <c r="I13" s="50">
        <v>76</v>
      </c>
      <c r="J13" s="50">
        <v>76</v>
      </c>
      <c r="K13" s="397">
        <f t="shared" si="2"/>
        <v>76</v>
      </c>
      <c r="L13" s="50">
        <v>70</v>
      </c>
      <c r="M13" s="50">
        <v>70</v>
      </c>
      <c r="N13" s="397">
        <f t="shared" si="3"/>
        <v>70</v>
      </c>
      <c r="O13" s="50">
        <v>60</v>
      </c>
      <c r="P13" s="50">
        <v>63</v>
      </c>
      <c r="Q13" s="397">
        <f t="shared" si="4"/>
        <v>61.5</v>
      </c>
      <c r="R13" s="50">
        <v>70</v>
      </c>
      <c r="S13" s="50">
        <v>70</v>
      </c>
      <c r="T13" s="397">
        <f t="shared" si="5"/>
        <v>70</v>
      </c>
      <c r="U13" s="50">
        <v>71</v>
      </c>
      <c r="V13" s="50">
        <v>72</v>
      </c>
      <c r="W13" s="397">
        <f t="shared" si="6"/>
        <v>71.5</v>
      </c>
      <c r="X13" s="50">
        <v>73</v>
      </c>
      <c r="Y13" s="50">
        <v>72</v>
      </c>
      <c r="Z13" s="397">
        <f t="shared" si="7"/>
        <v>72.5</v>
      </c>
      <c r="AA13" s="50">
        <v>75</v>
      </c>
      <c r="AB13" s="50">
        <v>75</v>
      </c>
      <c r="AC13" s="397">
        <f t="shared" si="8"/>
        <v>75</v>
      </c>
      <c r="AD13" s="50">
        <v>70</v>
      </c>
      <c r="AE13" s="50">
        <v>70</v>
      </c>
      <c r="AF13" s="397">
        <f t="shared" si="9"/>
        <v>70</v>
      </c>
      <c r="AG13" s="49"/>
      <c r="AH13" s="50"/>
      <c r="AI13" s="397" t="str">
        <f t="shared" si="10"/>
        <v/>
      </c>
      <c r="AJ13" s="50"/>
      <c r="AK13" s="50"/>
      <c r="AL13" s="397" t="str">
        <f t="shared" si="11"/>
        <v/>
      </c>
      <c r="AM13" s="396">
        <f t="shared" si="12"/>
        <v>72</v>
      </c>
      <c r="AN13" s="396">
        <f t="shared" si="12"/>
        <v>71.666666666666671</v>
      </c>
      <c r="AO13" s="396">
        <f t="shared" si="13"/>
        <v>646.5</v>
      </c>
      <c r="AP13" s="396">
        <f t="shared" si="14"/>
        <v>71.833333333333329</v>
      </c>
      <c r="AR13" s="35" t="str">
        <f t="shared" si="0"/>
        <v>Sembunyikan</v>
      </c>
      <c r="AV13" s="6" t="s">
        <v>45</v>
      </c>
      <c r="AW13" s="2">
        <f>PENGATURAN!K6</f>
        <v>100</v>
      </c>
    </row>
    <row r="14" spans="2:49">
      <c r="B14" s="7">
        <v>5</v>
      </c>
      <c r="C14" s="7" t="str">
        <f>'Data Siswa'!C8&amp;""</f>
        <v>2890</v>
      </c>
      <c r="D14" s="11" t="str">
        <f>'Data Siswa'!F8&amp;""</f>
        <v/>
      </c>
      <c r="E14" s="434"/>
      <c r="F14" s="50">
        <v>89</v>
      </c>
      <c r="G14" s="50">
        <v>79</v>
      </c>
      <c r="H14" s="397">
        <f t="shared" si="1"/>
        <v>84</v>
      </c>
      <c r="I14" s="50">
        <v>77</v>
      </c>
      <c r="J14" s="50">
        <v>77</v>
      </c>
      <c r="K14" s="397">
        <f t="shared" si="2"/>
        <v>77</v>
      </c>
      <c r="L14" s="50">
        <v>72</v>
      </c>
      <c r="M14" s="50">
        <v>72</v>
      </c>
      <c r="N14" s="397">
        <f t="shared" si="3"/>
        <v>72</v>
      </c>
      <c r="O14" s="50">
        <v>66</v>
      </c>
      <c r="P14" s="50">
        <v>67</v>
      </c>
      <c r="Q14" s="397">
        <f t="shared" si="4"/>
        <v>66.5</v>
      </c>
      <c r="R14" s="50">
        <v>77</v>
      </c>
      <c r="S14" s="50">
        <v>79</v>
      </c>
      <c r="T14" s="397">
        <f t="shared" si="5"/>
        <v>78</v>
      </c>
      <c r="U14" s="50">
        <v>78</v>
      </c>
      <c r="V14" s="50">
        <v>75</v>
      </c>
      <c r="W14" s="397">
        <f t="shared" si="6"/>
        <v>76.5</v>
      </c>
      <c r="X14" s="50">
        <v>84</v>
      </c>
      <c r="Y14" s="50">
        <v>78</v>
      </c>
      <c r="Z14" s="397">
        <f t="shared" si="7"/>
        <v>81</v>
      </c>
      <c r="AA14" s="50">
        <v>75</v>
      </c>
      <c r="AB14" s="50">
        <v>76</v>
      </c>
      <c r="AC14" s="397">
        <f t="shared" si="8"/>
        <v>75.5</v>
      </c>
      <c r="AD14" s="50">
        <v>72</v>
      </c>
      <c r="AE14" s="50">
        <v>75</v>
      </c>
      <c r="AF14" s="397">
        <f t="shared" si="9"/>
        <v>73.5</v>
      </c>
      <c r="AG14" s="49"/>
      <c r="AH14" s="50"/>
      <c r="AI14" s="397" t="str">
        <f t="shared" si="10"/>
        <v/>
      </c>
      <c r="AJ14" s="50"/>
      <c r="AK14" s="50"/>
      <c r="AL14" s="397" t="str">
        <f t="shared" si="11"/>
        <v/>
      </c>
      <c r="AM14" s="396">
        <f t="shared" si="12"/>
        <v>76.666666666666671</v>
      </c>
      <c r="AN14" s="396">
        <f t="shared" si="12"/>
        <v>75.333333333333329</v>
      </c>
      <c r="AO14" s="396">
        <f t="shared" si="13"/>
        <v>684</v>
      </c>
      <c r="AP14" s="396">
        <f t="shared" si="14"/>
        <v>76</v>
      </c>
      <c r="AR14" s="35" t="str">
        <f t="shared" si="0"/>
        <v>Sembunyikan</v>
      </c>
    </row>
    <row r="15" spans="2:49">
      <c r="B15" s="7">
        <v>6</v>
      </c>
      <c r="C15" s="7" t="str">
        <f>'Data Siswa'!C9&amp;""</f>
        <v>2889</v>
      </c>
      <c r="D15" s="11" t="str">
        <f>'Data Siswa'!F9&amp;""</f>
        <v/>
      </c>
      <c r="E15" s="434"/>
      <c r="F15" s="50">
        <v>89</v>
      </c>
      <c r="G15" s="50">
        <v>80</v>
      </c>
      <c r="H15" s="397">
        <f t="shared" si="1"/>
        <v>84.5</v>
      </c>
      <c r="I15" s="50">
        <v>79</v>
      </c>
      <c r="J15" s="50">
        <v>78</v>
      </c>
      <c r="K15" s="397">
        <f t="shared" si="2"/>
        <v>78.5</v>
      </c>
      <c r="L15" s="50">
        <v>74</v>
      </c>
      <c r="M15" s="50">
        <v>70</v>
      </c>
      <c r="N15" s="397">
        <f t="shared" si="3"/>
        <v>72</v>
      </c>
      <c r="O15" s="50">
        <v>65</v>
      </c>
      <c r="P15" s="50">
        <v>64</v>
      </c>
      <c r="Q15" s="397">
        <f t="shared" si="4"/>
        <v>64.5</v>
      </c>
      <c r="R15" s="50">
        <v>80</v>
      </c>
      <c r="S15" s="50">
        <v>79</v>
      </c>
      <c r="T15" s="397">
        <f t="shared" si="5"/>
        <v>79.5</v>
      </c>
      <c r="U15" s="50">
        <v>76</v>
      </c>
      <c r="V15" s="50">
        <v>77</v>
      </c>
      <c r="W15" s="397">
        <f t="shared" si="6"/>
        <v>76.5</v>
      </c>
      <c r="X15" s="50">
        <v>78</v>
      </c>
      <c r="Y15" s="50">
        <v>79</v>
      </c>
      <c r="Z15" s="397">
        <f t="shared" si="7"/>
        <v>78.5</v>
      </c>
      <c r="AA15" s="50">
        <v>76</v>
      </c>
      <c r="AB15" s="50">
        <v>76</v>
      </c>
      <c r="AC15" s="397">
        <f t="shared" si="8"/>
        <v>76</v>
      </c>
      <c r="AD15" s="50">
        <v>78</v>
      </c>
      <c r="AE15" s="50">
        <v>76</v>
      </c>
      <c r="AF15" s="397">
        <f t="shared" si="9"/>
        <v>77</v>
      </c>
      <c r="AG15" s="49"/>
      <c r="AH15" s="50"/>
      <c r="AI15" s="397" t="str">
        <f t="shared" si="10"/>
        <v/>
      </c>
      <c r="AJ15" s="50"/>
      <c r="AK15" s="50"/>
      <c r="AL15" s="397" t="str">
        <f t="shared" si="11"/>
        <v/>
      </c>
      <c r="AM15" s="396">
        <f t="shared" si="12"/>
        <v>77.222222222222229</v>
      </c>
      <c r="AN15" s="396">
        <f t="shared" si="12"/>
        <v>75.444444444444443</v>
      </c>
      <c r="AO15" s="396">
        <f t="shared" si="13"/>
        <v>687</v>
      </c>
      <c r="AP15" s="396">
        <f t="shared" si="14"/>
        <v>76.333333333333329</v>
      </c>
      <c r="AR15" s="35" t="str">
        <f t="shared" si="0"/>
        <v>Sembunyikan</v>
      </c>
    </row>
    <row r="16" spans="2:49">
      <c r="B16" s="7">
        <v>7</v>
      </c>
      <c r="C16" s="7" t="str">
        <f>'Data Siswa'!C10&amp;""</f>
        <v>2891</v>
      </c>
      <c r="D16" s="11" t="str">
        <f>'Data Siswa'!F10&amp;""</f>
        <v/>
      </c>
      <c r="E16" s="434"/>
      <c r="F16" s="50">
        <v>97</v>
      </c>
      <c r="G16" s="50">
        <v>90</v>
      </c>
      <c r="H16" s="397">
        <f t="shared" si="1"/>
        <v>93.5</v>
      </c>
      <c r="I16" s="50">
        <v>91</v>
      </c>
      <c r="J16" s="50">
        <v>86</v>
      </c>
      <c r="K16" s="397">
        <f t="shared" si="2"/>
        <v>88.5</v>
      </c>
      <c r="L16" s="50">
        <v>86</v>
      </c>
      <c r="M16" s="50">
        <v>83</v>
      </c>
      <c r="N16" s="397">
        <f t="shared" si="3"/>
        <v>84.5</v>
      </c>
      <c r="O16" s="50">
        <v>75</v>
      </c>
      <c r="P16" s="50">
        <v>78</v>
      </c>
      <c r="Q16" s="397">
        <f t="shared" si="4"/>
        <v>76.5</v>
      </c>
      <c r="R16" s="50">
        <v>84</v>
      </c>
      <c r="S16" s="50">
        <v>84</v>
      </c>
      <c r="T16" s="397">
        <f t="shared" si="5"/>
        <v>84</v>
      </c>
      <c r="U16" s="50">
        <v>73</v>
      </c>
      <c r="V16" s="50">
        <v>75</v>
      </c>
      <c r="W16" s="397">
        <f t="shared" si="6"/>
        <v>74</v>
      </c>
      <c r="X16" s="50">
        <v>75</v>
      </c>
      <c r="Y16" s="50">
        <v>77</v>
      </c>
      <c r="Z16" s="397">
        <f t="shared" si="7"/>
        <v>76</v>
      </c>
      <c r="AA16" s="50">
        <v>89</v>
      </c>
      <c r="AB16" s="50">
        <v>85</v>
      </c>
      <c r="AC16" s="397">
        <f t="shared" si="8"/>
        <v>87</v>
      </c>
      <c r="AD16" s="50">
        <v>85</v>
      </c>
      <c r="AE16" s="50">
        <v>83</v>
      </c>
      <c r="AF16" s="397">
        <f t="shared" si="9"/>
        <v>84</v>
      </c>
      <c r="AG16" s="49"/>
      <c r="AH16" s="50"/>
      <c r="AI16" s="397" t="str">
        <f t="shared" si="10"/>
        <v/>
      </c>
      <c r="AJ16" s="50"/>
      <c r="AK16" s="50"/>
      <c r="AL16" s="397" t="str">
        <f t="shared" si="11"/>
        <v/>
      </c>
      <c r="AM16" s="396">
        <f t="shared" si="12"/>
        <v>83.888888888888886</v>
      </c>
      <c r="AN16" s="396">
        <f t="shared" si="12"/>
        <v>82.333333333333329</v>
      </c>
      <c r="AO16" s="396">
        <f t="shared" si="13"/>
        <v>748</v>
      </c>
      <c r="AP16" s="396">
        <f t="shared" si="14"/>
        <v>83.111111111111114</v>
      </c>
      <c r="AR16" s="35" t="str">
        <f t="shared" si="0"/>
        <v>Sembunyikan</v>
      </c>
    </row>
    <row r="17" spans="2:44">
      <c r="B17" s="7">
        <v>8</v>
      </c>
      <c r="C17" s="7" t="str">
        <f>'Data Siswa'!C11&amp;""</f>
        <v>2893</v>
      </c>
      <c r="D17" s="11" t="str">
        <f>'Data Siswa'!F11&amp;""</f>
        <v/>
      </c>
      <c r="E17" s="434"/>
      <c r="F17" s="50">
        <v>92</v>
      </c>
      <c r="G17" s="50">
        <v>79</v>
      </c>
      <c r="H17" s="397">
        <f t="shared" si="1"/>
        <v>85.5</v>
      </c>
      <c r="I17" s="50">
        <v>78</v>
      </c>
      <c r="J17" s="50">
        <v>77</v>
      </c>
      <c r="K17" s="397">
        <f t="shared" si="2"/>
        <v>77.5</v>
      </c>
      <c r="L17" s="50">
        <v>77</v>
      </c>
      <c r="M17" s="50">
        <v>72</v>
      </c>
      <c r="N17" s="397">
        <f t="shared" si="3"/>
        <v>74.5</v>
      </c>
      <c r="O17" s="50">
        <v>66</v>
      </c>
      <c r="P17" s="50">
        <v>65</v>
      </c>
      <c r="Q17" s="397">
        <f t="shared" si="4"/>
        <v>65.5</v>
      </c>
      <c r="R17" s="50">
        <v>82</v>
      </c>
      <c r="S17" s="50">
        <v>74</v>
      </c>
      <c r="T17" s="397">
        <f t="shared" si="5"/>
        <v>78</v>
      </c>
      <c r="U17" s="50">
        <v>79</v>
      </c>
      <c r="V17" s="50">
        <v>78</v>
      </c>
      <c r="W17" s="397">
        <f t="shared" si="6"/>
        <v>78.5</v>
      </c>
      <c r="X17" s="50">
        <v>78</v>
      </c>
      <c r="Y17" s="50">
        <v>77</v>
      </c>
      <c r="Z17" s="397">
        <f t="shared" si="7"/>
        <v>77.5</v>
      </c>
      <c r="AA17" s="50">
        <v>76</v>
      </c>
      <c r="AB17" s="50">
        <v>76</v>
      </c>
      <c r="AC17" s="397">
        <f t="shared" si="8"/>
        <v>76</v>
      </c>
      <c r="AD17" s="50">
        <v>78</v>
      </c>
      <c r="AE17" s="50">
        <v>75</v>
      </c>
      <c r="AF17" s="397">
        <f t="shared" si="9"/>
        <v>76.5</v>
      </c>
      <c r="AG17" s="49"/>
      <c r="AH17" s="50"/>
      <c r="AI17" s="397" t="str">
        <f t="shared" si="10"/>
        <v/>
      </c>
      <c r="AJ17" s="50"/>
      <c r="AK17" s="50"/>
      <c r="AL17" s="397" t="str">
        <f t="shared" si="11"/>
        <v/>
      </c>
      <c r="AM17" s="396">
        <f t="shared" si="12"/>
        <v>78.444444444444443</v>
      </c>
      <c r="AN17" s="396">
        <f t="shared" si="12"/>
        <v>74.777777777777771</v>
      </c>
      <c r="AO17" s="396">
        <f t="shared" si="13"/>
        <v>689.5</v>
      </c>
      <c r="AP17" s="396">
        <f t="shared" si="14"/>
        <v>76.611111111111114</v>
      </c>
      <c r="AR17" s="35" t="str">
        <f t="shared" si="0"/>
        <v>Sembunyikan</v>
      </c>
    </row>
    <row r="18" spans="2:44">
      <c r="B18" s="7">
        <v>9</v>
      </c>
      <c r="C18" s="7" t="str">
        <f>'Data Siswa'!C12&amp;""</f>
        <v>2892</v>
      </c>
      <c r="D18" s="11" t="str">
        <f>'Data Siswa'!F12&amp;""</f>
        <v/>
      </c>
      <c r="E18" s="434"/>
      <c r="F18" s="50">
        <v>97</v>
      </c>
      <c r="G18" s="50">
        <v>90</v>
      </c>
      <c r="H18" s="397">
        <f t="shared" si="1"/>
        <v>93.5</v>
      </c>
      <c r="I18" s="50">
        <v>96</v>
      </c>
      <c r="J18" s="50">
        <v>88</v>
      </c>
      <c r="K18" s="397">
        <f t="shared" si="2"/>
        <v>92</v>
      </c>
      <c r="L18" s="50">
        <v>95</v>
      </c>
      <c r="M18" s="50">
        <v>91</v>
      </c>
      <c r="N18" s="397">
        <f t="shared" si="3"/>
        <v>93</v>
      </c>
      <c r="O18" s="50">
        <v>85</v>
      </c>
      <c r="P18" s="50">
        <v>84</v>
      </c>
      <c r="Q18" s="397">
        <f t="shared" si="4"/>
        <v>84.5</v>
      </c>
      <c r="R18" s="50">
        <v>90</v>
      </c>
      <c r="S18" s="50">
        <v>87</v>
      </c>
      <c r="T18" s="397">
        <f t="shared" si="5"/>
        <v>88.5</v>
      </c>
      <c r="U18" s="50">
        <v>92</v>
      </c>
      <c r="V18" s="50">
        <v>86</v>
      </c>
      <c r="W18" s="397">
        <f t="shared" si="6"/>
        <v>89</v>
      </c>
      <c r="X18" s="50">
        <v>92</v>
      </c>
      <c r="Y18" s="50">
        <v>88</v>
      </c>
      <c r="Z18" s="397">
        <f t="shared" si="7"/>
        <v>90</v>
      </c>
      <c r="AA18" s="50">
        <v>92</v>
      </c>
      <c r="AB18" s="50">
        <v>89</v>
      </c>
      <c r="AC18" s="397">
        <f t="shared" si="8"/>
        <v>90.5</v>
      </c>
      <c r="AD18" s="50">
        <v>94</v>
      </c>
      <c r="AE18" s="50">
        <v>89</v>
      </c>
      <c r="AF18" s="397">
        <f t="shared" si="9"/>
        <v>91.5</v>
      </c>
      <c r="AG18" s="49"/>
      <c r="AH18" s="50"/>
      <c r="AI18" s="397" t="str">
        <f t="shared" si="10"/>
        <v/>
      </c>
      <c r="AJ18" s="50"/>
      <c r="AK18" s="50"/>
      <c r="AL18" s="397" t="str">
        <f t="shared" si="11"/>
        <v/>
      </c>
      <c r="AM18" s="396">
        <f t="shared" si="12"/>
        <v>92.555555555555557</v>
      </c>
      <c r="AN18" s="396">
        <f t="shared" si="12"/>
        <v>88</v>
      </c>
      <c r="AO18" s="396">
        <f t="shared" si="13"/>
        <v>812.5</v>
      </c>
      <c r="AP18" s="396">
        <f t="shared" si="14"/>
        <v>90.277777777777771</v>
      </c>
      <c r="AR18" s="35" t="str">
        <f t="shared" si="0"/>
        <v>Sembunyikan</v>
      </c>
    </row>
    <row r="19" spans="2:44">
      <c r="B19" s="7">
        <v>10</v>
      </c>
      <c r="C19" s="7" t="str">
        <f>'Data Siswa'!C13&amp;""</f>
        <v>2894</v>
      </c>
      <c r="D19" s="11" t="str">
        <f>'Data Siswa'!F13&amp;""</f>
        <v/>
      </c>
      <c r="E19" s="434"/>
      <c r="F19" s="50">
        <v>96</v>
      </c>
      <c r="G19" s="50">
        <v>86</v>
      </c>
      <c r="H19" s="397">
        <f t="shared" si="1"/>
        <v>91</v>
      </c>
      <c r="I19" s="50">
        <v>94</v>
      </c>
      <c r="J19" s="50">
        <v>90</v>
      </c>
      <c r="K19" s="397">
        <f t="shared" si="2"/>
        <v>92</v>
      </c>
      <c r="L19" s="50">
        <v>88</v>
      </c>
      <c r="M19" s="50">
        <v>87</v>
      </c>
      <c r="N19" s="397">
        <f t="shared" si="3"/>
        <v>87.5</v>
      </c>
      <c r="O19" s="50">
        <v>81</v>
      </c>
      <c r="P19" s="50">
        <v>76</v>
      </c>
      <c r="Q19" s="397">
        <f t="shared" si="4"/>
        <v>78.5</v>
      </c>
      <c r="R19" s="50">
        <v>87</v>
      </c>
      <c r="S19" s="50">
        <v>84</v>
      </c>
      <c r="T19" s="397">
        <f t="shared" si="5"/>
        <v>85.5</v>
      </c>
      <c r="U19" s="50">
        <v>81</v>
      </c>
      <c r="V19" s="50">
        <v>78</v>
      </c>
      <c r="W19" s="397">
        <f t="shared" si="6"/>
        <v>79.5</v>
      </c>
      <c r="X19" s="50">
        <v>83</v>
      </c>
      <c r="Y19" s="50">
        <v>83</v>
      </c>
      <c r="Z19" s="397">
        <f t="shared" si="7"/>
        <v>83</v>
      </c>
      <c r="AA19" s="50">
        <v>94</v>
      </c>
      <c r="AB19" s="50">
        <v>91</v>
      </c>
      <c r="AC19" s="397">
        <f t="shared" si="8"/>
        <v>92.5</v>
      </c>
      <c r="AD19" s="50">
        <v>89</v>
      </c>
      <c r="AE19" s="50">
        <v>86</v>
      </c>
      <c r="AF19" s="397">
        <f t="shared" si="9"/>
        <v>87.5</v>
      </c>
      <c r="AG19" s="49"/>
      <c r="AH19" s="50"/>
      <c r="AI19" s="397" t="str">
        <f t="shared" si="10"/>
        <v/>
      </c>
      <c r="AJ19" s="50"/>
      <c r="AK19" s="50"/>
      <c r="AL19" s="397" t="str">
        <f t="shared" si="11"/>
        <v/>
      </c>
      <c r="AM19" s="396">
        <f t="shared" si="12"/>
        <v>88.111111111111114</v>
      </c>
      <c r="AN19" s="396">
        <f t="shared" si="12"/>
        <v>84.555555555555557</v>
      </c>
      <c r="AO19" s="396">
        <f t="shared" si="13"/>
        <v>777</v>
      </c>
      <c r="AP19" s="396">
        <f t="shared" si="14"/>
        <v>86.333333333333329</v>
      </c>
      <c r="AR19" s="35" t="str">
        <f t="shared" si="0"/>
        <v>Sembunyikan</v>
      </c>
    </row>
    <row r="20" spans="2:44">
      <c r="B20" s="7">
        <v>11</v>
      </c>
      <c r="C20" s="7" t="str">
        <f>'Data Siswa'!C14&amp;""</f>
        <v>2895</v>
      </c>
      <c r="D20" s="11" t="str">
        <f>'Data Siswa'!F14&amp;""</f>
        <v/>
      </c>
      <c r="E20" s="434"/>
      <c r="F20" s="50">
        <v>83</v>
      </c>
      <c r="G20" s="50">
        <v>78</v>
      </c>
      <c r="H20" s="397">
        <f t="shared" si="1"/>
        <v>80.5</v>
      </c>
      <c r="I20" s="50">
        <v>77</v>
      </c>
      <c r="J20" s="50">
        <v>77</v>
      </c>
      <c r="K20" s="397">
        <f t="shared" si="2"/>
        <v>77</v>
      </c>
      <c r="L20" s="50">
        <v>73</v>
      </c>
      <c r="M20" s="50">
        <v>72</v>
      </c>
      <c r="N20" s="397">
        <f t="shared" si="3"/>
        <v>72.5</v>
      </c>
      <c r="O20" s="50">
        <v>60</v>
      </c>
      <c r="P20" s="50">
        <v>62</v>
      </c>
      <c r="Q20" s="397">
        <f t="shared" si="4"/>
        <v>61</v>
      </c>
      <c r="R20" s="50">
        <v>70</v>
      </c>
      <c r="S20" s="50">
        <v>71</v>
      </c>
      <c r="T20" s="397">
        <f t="shared" si="5"/>
        <v>70.5</v>
      </c>
      <c r="U20" s="50">
        <v>70</v>
      </c>
      <c r="V20" s="50">
        <v>70</v>
      </c>
      <c r="W20" s="397">
        <f t="shared" si="6"/>
        <v>70</v>
      </c>
      <c r="X20" s="50">
        <v>79</v>
      </c>
      <c r="Y20" s="50">
        <v>77</v>
      </c>
      <c r="Z20" s="397">
        <f t="shared" si="7"/>
        <v>78</v>
      </c>
      <c r="AA20" s="50">
        <v>75</v>
      </c>
      <c r="AB20" s="50">
        <v>75</v>
      </c>
      <c r="AC20" s="397">
        <f t="shared" si="8"/>
        <v>75</v>
      </c>
      <c r="AD20" s="50">
        <v>71</v>
      </c>
      <c r="AE20" s="50">
        <v>72</v>
      </c>
      <c r="AF20" s="397">
        <f t="shared" si="9"/>
        <v>71.5</v>
      </c>
      <c r="AG20" s="49"/>
      <c r="AH20" s="50"/>
      <c r="AI20" s="397" t="str">
        <f t="shared" si="10"/>
        <v/>
      </c>
      <c r="AJ20" s="50"/>
      <c r="AK20" s="50"/>
      <c r="AL20" s="397" t="str">
        <f t="shared" si="11"/>
        <v/>
      </c>
      <c r="AM20" s="396">
        <f t="shared" si="12"/>
        <v>73.111111111111114</v>
      </c>
      <c r="AN20" s="396">
        <f t="shared" si="12"/>
        <v>72.666666666666671</v>
      </c>
      <c r="AO20" s="396">
        <f t="shared" si="13"/>
        <v>656</v>
      </c>
      <c r="AP20" s="396">
        <f t="shared" si="14"/>
        <v>72.888888888888886</v>
      </c>
      <c r="AR20" s="35" t="str">
        <f t="shared" si="0"/>
        <v>Sembunyikan</v>
      </c>
    </row>
    <row r="21" spans="2:44">
      <c r="B21" s="7">
        <v>12</v>
      </c>
      <c r="C21" s="7" t="str">
        <f>'Data Siswa'!C15&amp;""</f>
        <v>2896</v>
      </c>
      <c r="D21" s="11" t="str">
        <f>'Data Siswa'!F15&amp;""</f>
        <v/>
      </c>
      <c r="E21" s="434"/>
      <c r="F21" s="50">
        <v>98</v>
      </c>
      <c r="G21" s="50">
        <v>90</v>
      </c>
      <c r="H21" s="397">
        <f t="shared" si="1"/>
        <v>94</v>
      </c>
      <c r="I21" s="50">
        <v>92</v>
      </c>
      <c r="J21" s="50">
        <v>87</v>
      </c>
      <c r="K21" s="397">
        <f t="shared" si="2"/>
        <v>89.5</v>
      </c>
      <c r="L21" s="50">
        <v>92</v>
      </c>
      <c r="M21" s="50">
        <v>90</v>
      </c>
      <c r="N21" s="397">
        <f t="shared" si="3"/>
        <v>91</v>
      </c>
      <c r="O21" s="50">
        <v>80</v>
      </c>
      <c r="P21" s="50">
        <v>80</v>
      </c>
      <c r="Q21" s="397">
        <f t="shared" si="4"/>
        <v>80</v>
      </c>
      <c r="R21" s="50">
        <v>95</v>
      </c>
      <c r="S21" s="50">
        <v>89</v>
      </c>
      <c r="T21" s="397">
        <f t="shared" si="5"/>
        <v>92</v>
      </c>
      <c r="U21" s="50">
        <v>95</v>
      </c>
      <c r="V21" s="50">
        <v>88</v>
      </c>
      <c r="W21" s="397">
        <f t="shared" si="6"/>
        <v>91.5</v>
      </c>
      <c r="X21" s="50">
        <v>93</v>
      </c>
      <c r="Y21" s="50">
        <v>88</v>
      </c>
      <c r="Z21" s="397">
        <f t="shared" si="7"/>
        <v>90.5</v>
      </c>
      <c r="AA21" s="50">
        <v>89</v>
      </c>
      <c r="AB21" s="50">
        <v>88</v>
      </c>
      <c r="AC21" s="397">
        <f t="shared" si="8"/>
        <v>88.5</v>
      </c>
      <c r="AD21" s="50">
        <v>93</v>
      </c>
      <c r="AE21" s="50">
        <v>90</v>
      </c>
      <c r="AF21" s="397">
        <f t="shared" si="9"/>
        <v>91.5</v>
      </c>
      <c r="AG21" s="49"/>
      <c r="AH21" s="50"/>
      <c r="AI21" s="397" t="str">
        <f t="shared" si="10"/>
        <v/>
      </c>
      <c r="AJ21" s="50"/>
      <c r="AK21" s="50"/>
      <c r="AL21" s="397" t="str">
        <f t="shared" si="11"/>
        <v/>
      </c>
      <c r="AM21" s="396">
        <f t="shared" si="12"/>
        <v>91.888888888888886</v>
      </c>
      <c r="AN21" s="396">
        <f t="shared" si="12"/>
        <v>87.777777777777771</v>
      </c>
      <c r="AO21" s="396">
        <f t="shared" si="13"/>
        <v>808.5</v>
      </c>
      <c r="AP21" s="396">
        <f t="shared" si="14"/>
        <v>89.833333333333329</v>
      </c>
      <c r="AR21" s="35" t="str">
        <f t="shared" si="0"/>
        <v>Sembunyikan</v>
      </c>
    </row>
    <row r="22" spans="2:44">
      <c r="B22" s="7">
        <v>13</v>
      </c>
      <c r="C22" s="7" t="str">
        <f>'Data Siswa'!C16&amp;""</f>
        <v>2897</v>
      </c>
      <c r="D22" s="11" t="str">
        <f>'Data Siswa'!F16&amp;""</f>
        <v/>
      </c>
      <c r="E22" s="434"/>
      <c r="F22" s="50">
        <v>91</v>
      </c>
      <c r="G22" s="50">
        <v>79</v>
      </c>
      <c r="H22" s="397">
        <f t="shared" si="1"/>
        <v>85</v>
      </c>
      <c r="I22" s="50">
        <v>78</v>
      </c>
      <c r="J22" s="50">
        <v>77</v>
      </c>
      <c r="K22" s="397">
        <f t="shared" si="2"/>
        <v>77.5</v>
      </c>
      <c r="L22" s="50">
        <v>72</v>
      </c>
      <c r="M22" s="50">
        <v>72</v>
      </c>
      <c r="N22" s="397">
        <f t="shared" si="3"/>
        <v>72</v>
      </c>
      <c r="O22" s="50">
        <v>60</v>
      </c>
      <c r="P22" s="50">
        <v>63</v>
      </c>
      <c r="Q22" s="397">
        <f t="shared" si="4"/>
        <v>61.5</v>
      </c>
      <c r="R22" s="50">
        <v>78</v>
      </c>
      <c r="S22" s="50">
        <v>75</v>
      </c>
      <c r="T22" s="397">
        <f t="shared" si="5"/>
        <v>76.5</v>
      </c>
      <c r="U22" s="50">
        <v>80</v>
      </c>
      <c r="V22" s="50">
        <v>73</v>
      </c>
      <c r="W22" s="397">
        <f t="shared" si="6"/>
        <v>76.5</v>
      </c>
      <c r="X22" s="50">
        <v>82</v>
      </c>
      <c r="Y22" s="50">
        <v>80</v>
      </c>
      <c r="Z22" s="397">
        <f t="shared" si="7"/>
        <v>81</v>
      </c>
      <c r="AA22" s="50">
        <v>75</v>
      </c>
      <c r="AB22" s="50">
        <v>75</v>
      </c>
      <c r="AC22" s="397">
        <f t="shared" si="8"/>
        <v>75</v>
      </c>
      <c r="AD22" s="50">
        <v>74</v>
      </c>
      <c r="AE22" s="50">
        <v>73</v>
      </c>
      <c r="AF22" s="397">
        <f t="shared" si="9"/>
        <v>73.5</v>
      </c>
      <c r="AG22" s="49"/>
      <c r="AH22" s="50"/>
      <c r="AI22" s="397" t="str">
        <f t="shared" si="10"/>
        <v/>
      </c>
      <c r="AJ22" s="50"/>
      <c r="AK22" s="50"/>
      <c r="AL22" s="397" t="str">
        <f t="shared" si="11"/>
        <v/>
      </c>
      <c r="AM22" s="396">
        <f t="shared" si="12"/>
        <v>76.666666666666671</v>
      </c>
      <c r="AN22" s="396">
        <f t="shared" si="12"/>
        <v>74.111111111111114</v>
      </c>
      <c r="AO22" s="396">
        <f t="shared" si="13"/>
        <v>678.5</v>
      </c>
      <c r="AP22" s="396">
        <f t="shared" si="14"/>
        <v>75.388888888888886</v>
      </c>
      <c r="AR22" s="35" t="str">
        <f t="shared" si="0"/>
        <v>Sembunyikan</v>
      </c>
    </row>
    <row r="23" spans="2:44">
      <c r="B23" s="7">
        <v>14</v>
      </c>
      <c r="C23" s="7" t="str">
        <f>'Data Siswa'!C17&amp;""</f>
        <v>2898</v>
      </c>
      <c r="D23" s="11" t="str">
        <f>'Data Siswa'!F17&amp;""</f>
        <v/>
      </c>
      <c r="E23" s="434"/>
      <c r="F23" s="50">
        <v>92</v>
      </c>
      <c r="G23" s="50">
        <v>81</v>
      </c>
      <c r="H23" s="397">
        <f t="shared" si="1"/>
        <v>86.5</v>
      </c>
      <c r="I23" s="50">
        <v>82</v>
      </c>
      <c r="J23" s="50">
        <v>77</v>
      </c>
      <c r="K23" s="397">
        <f t="shared" si="2"/>
        <v>79.5</v>
      </c>
      <c r="L23" s="50">
        <v>74</v>
      </c>
      <c r="M23" s="50">
        <v>71</v>
      </c>
      <c r="N23" s="397">
        <f t="shared" si="3"/>
        <v>72.5</v>
      </c>
      <c r="O23" s="50">
        <v>67</v>
      </c>
      <c r="P23" s="50">
        <v>67</v>
      </c>
      <c r="Q23" s="397">
        <f t="shared" si="4"/>
        <v>67</v>
      </c>
      <c r="R23" s="50">
        <v>85</v>
      </c>
      <c r="S23" s="50">
        <v>76</v>
      </c>
      <c r="T23" s="397">
        <f t="shared" si="5"/>
        <v>80.5</v>
      </c>
      <c r="U23" s="50">
        <v>81</v>
      </c>
      <c r="V23" s="50">
        <v>79</v>
      </c>
      <c r="W23" s="397">
        <f t="shared" si="6"/>
        <v>80</v>
      </c>
      <c r="X23" s="50">
        <v>92</v>
      </c>
      <c r="Y23" s="50">
        <v>78</v>
      </c>
      <c r="Z23" s="397">
        <f t="shared" si="7"/>
        <v>85</v>
      </c>
      <c r="AA23" s="50">
        <v>75</v>
      </c>
      <c r="AB23" s="50">
        <v>75</v>
      </c>
      <c r="AC23" s="397">
        <f t="shared" si="8"/>
        <v>75</v>
      </c>
      <c r="AD23" s="50">
        <v>78</v>
      </c>
      <c r="AE23" s="50">
        <v>75</v>
      </c>
      <c r="AF23" s="397">
        <f t="shared" si="9"/>
        <v>76.5</v>
      </c>
      <c r="AG23" s="49"/>
      <c r="AH23" s="50"/>
      <c r="AI23" s="397" t="str">
        <f t="shared" si="10"/>
        <v/>
      </c>
      <c r="AJ23" s="50"/>
      <c r="AK23" s="50"/>
      <c r="AL23" s="397" t="str">
        <f t="shared" si="11"/>
        <v/>
      </c>
      <c r="AM23" s="396">
        <f t="shared" si="12"/>
        <v>80.666666666666671</v>
      </c>
      <c r="AN23" s="396">
        <f t="shared" si="12"/>
        <v>75.444444444444443</v>
      </c>
      <c r="AO23" s="396">
        <f t="shared" si="13"/>
        <v>702.5</v>
      </c>
      <c r="AP23" s="396">
        <f t="shared" si="14"/>
        <v>78.055555555555557</v>
      </c>
      <c r="AR23" s="35" t="str">
        <f t="shared" si="0"/>
        <v>Sembunyikan</v>
      </c>
    </row>
    <row r="24" spans="2:44">
      <c r="B24" s="7">
        <v>15</v>
      </c>
      <c r="C24" s="7" t="str">
        <f>'Data Siswa'!C18&amp;""</f>
        <v>2900</v>
      </c>
      <c r="D24" s="11" t="str">
        <f>'Data Siswa'!F18&amp;""</f>
        <v/>
      </c>
      <c r="E24" s="434"/>
      <c r="F24" s="50">
        <v>88</v>
      </c>
      <c r="G24" s="50">
        <v>79</v>
      </c>
      <c r="H24" s="397">
        <f t="shared" si="1"/>
        <v>83.5</v>
      </c>
      <c r="I24" s="50">
        <v>82</v>
      </c>
      <c r="J24" s="50">
        <v>78</v>
      </c>
      <c r="K24" s="397">
        <f t="shared" si="2"/>
        <v>80</v>
      </c>
      <c r="L24" s="50">
        <v>76</v>
      </c>
      <c r="M24" s="50">
        <v>72</v>
      </c>
      <c r="N24" s="397">
        <f t="shared" si="3"/>
        <v>74</v>
      </c>
      <c r="O24" s="50">
        <v>68</v>
      </c>
      <c r="P24" s="50">
        <v>67</v>
      </c>
      <c r="Q24" s="397">
        <f t="shared" si="4"/>
        <v>67.5</v>
      </c>
      <c r="R24" s="50">
        <v>87</v>
      </c>
      <c r="S24" s="50">
        <v>80</v>
      </c>
      <c r="T24" s="397">
        <f t="shared" si="5"/>
        <v>83.5</v>
      </c>
      <c r="U24" s="50">
        <v>84</v>
      </c>
      <c r="V24" s="50">
        <v>73</v>
      </c>
      <c r="W24" s="397">
        <f t="shared" si="6"/>
        <v>78.5</v>
      </c>
      <c r="X24" s="50">
        <v>90</v>
      </c>
      <c r="Y24" s="50">
        <v>80</v>
      </c>
      <c r="Z24" s="397">
        <f t="shared" si="7"/>
        <v>85</v>
      </c>
      <c r="AA24" s="50">
        <v>75</v>
      </c>
      <c r="AB24" s="50">
        <v>75</v>
      </c>
      <c r="AC24" s="397">
        <f t="shared" si="8"/>
        <v>75</v>
      </c>
      <c r="AD24" s="50">
        <v>74</v>
      </c>
      <c r="AE24" s="50">
        <v>75</v>
      </c>
      <c r="AF24" s="397">
        <f t="shared" si="9"/>
        <v>74.5</v>
      </c>
      <c r="AG24" s="49"/>
      <c r="AH24" s="50"/>
      <c r="AI24" s="397" t="str">
        <f t="shared" si="10"/>
        <v/>
      </c>
      <c r="AJ24" s="50"/>
      <c r="AK24" s="50"/>
      <c r="AL24" s="397" t="str">
        <f t="shared" si="11"/>
        <v/>
      </c>
      <c r="AM24" s="396">
        <f t="shared" si="12"/>
        <v>80.444444444444443</v>
      </c>
      <c r="AN24" s="396">
        <f t="shared" si="12"/>
        <v>75.444444444444443</v>
      </c>
      <c r="AO24" s="396">
        <f t="shared" si="13"/>
        <v>701.5</v>
      </c>
      <c r="AP24" s="396">
        <f t="shared" si="14"/>
        <v>77.944444444444443</v>
      </c>
      <c r="AR24" s="35" t="str">
        <f t="shared" si="0"/>
        <v>Sembunyikan</v>
      </c>
    </row>
    <row r="25" spans="2:44">
      <c r="B25" s="7">
        <v>16</v>
      </c>
      <c r="C25" s="7" t="str">
        <f>'Data Siswa'!C19&amp;""</f>
        <v>2899</v>
      </c>
      <c r="D25" s="11" t="str">
        <f>'Data Siswa'!F19&amp;""</f>
        <v/>
      </c>
      <c r="E25" s="434"/>
      <c r="F25" s="50">
        <v>91</v>
      </c>
      <c r="G25" s="50">
        <v>81</v>
      </c>
      <c r="H25" s="397">
        <f t="shared" si="1"/>
        <v>86</v>
      </c>
      <c r="I25" s="50">
        <v>83</v>
      </c>
      <c r="J25" s="50">
        <v>79</v>
      </c>
      <c r="K25" s="397">
        <f t="shared" si="2"/>
        <v>81</v>
      </c>
      <c r="L25" s="50">
        <v>78</v>
      </c>
      <c r="M25" s="50">
        <v>72</v>
      </c>
      <c r="N25" s="397">
        <f t="shared" si="3"/>
        <v>75</v>
      </c>
      <c r="O25" s="50">
        <v>75</v>
      </c>
      <c r="P25" s="50">
        <v>70</v>
      </c>
      <c r="Q25" s="397">
        <f t="shared" si="4"/>
        <v>72.5</v>
      </c>
      <c r="R25" s="50">
        <v>88</v>
      </c>
      <c r="S25" s="50">
        <v>81</v>
      </c>
      <c r="T25" s="397">
        <f t="shared" si="5"/>
        <v>84.5</v>
      </c>
      <c r="U25" s="50">
        <v>90</v>
      </c>
      <c r="V25" s="50">
        <v>81</v>
      </c>
      <c r="W25" s="397">
        <f t="shared" si="6"/>
        <v>85.5</v>
      </c>
      <c r="X25" s="50">
        <v>87</v>
      </c>
      <c r="Y25" s="50">
        <v>76</v>
      </c>
      <c r="Z25" s="397">
        <f t="shared" si="7"/>
        <v>81.5</v>
      </c>
      <c r="AA25" s="50">
        <v>75</v>
      </c>
      <c r="AB25" s="50">
        <v>75</v>
      </c>
      <c r="AC25" s="397">
        <f t="shared" si="8"/>
        <v>75</v>
      </c>
      <c r="AD25" s="50">
        <v>78</v>
      </c>
      <c r="AE25" s="50">
        <v>75</v>
      </c>
      <c r="AF25" s="397">
        <f t="shared" si="9"/>
        <v>76.5</v>
      </c>
      <c r="AG25" s="49"/>
      <c r="AH25" s="50"/>
      <c r="AI25" s="397" t="str">
        <f t="shared" si="10"/>
        <v/>
      </c>
      <c r="AJ25" s="50"/>
      <c r="AK25" s="50"/>
      <c r="AL25" s="397" t="str">
        <f t="shared" si="11"/>
        <v/>
      </c>
      <c r="AM25" s="396">
        <f t="shared" si="12"/>
        <v>82.777777777777771</v>
      </c>
      <c r="AN25" s="396">
        <f t="shared" si="12"/>
        <v>76.666666666666671</v>
      </c>
      <c r="AO25" s="396">
        <f t="shared" si="13"/>
        <v>717.5</v>
      </c>
      <c r="AP25" s="396">
        <f t="shared" si="14"/>
        <v>79.722222222222229</v>
      </c>
      <c r="AR25" s="35" t="str">
        <f t="shared" si="0"/>
        <v>Sembunyikan</v>
      </c>
    </row>
    <row r="26" spans="2:44">
      <c r="B26" s="7">
        <v>17</v>
      </c>
      <c r="C26" s="7" t="str">
        <f>'Data Siswa'!C20&amp;""</f>
        <v>2901</v>
      </c>
      <c r="D26" s="11" t="str">
        <f>'Data Siswa'!F20&amp;""</f>
        <v/>
      </c>
      <c r="E26" s="434"/>
      <c r="F26" s="50">
        <v>96</v>
      </c>
      <c r="G26" s="50">
        <v>87</v>
      </c>
      <c r="H26" s="397">
        <f t="shared" si="1"/>
        <v>91.5</v>
      </c>
      <c r="I26" s="50">
        <v>84</v>
      </c>
      <c r="J26" s="50">
        <v>79</v>
      </c>
      <c r="K26" s="397">
        <f t="shared" si="2"/>
        <v>81.5</v>
      </c>
      <c r="L26" s="50">
        <v>80</v>
      </c>
      <c r="M26" s="50">
        <v>77</v>
      </c>
      <c r="N26" s="397">
        <f t="shared" si="3"/>
        <v>78.5</v>
      </c>
      <c r="O26" s="50">
        <v>79</v>
      </c>
      <c r="P26" s="50">
        <v>76</v>
      </c>
      <c r="Q26" s="397">
        <f t="shared" si="4"/>
        <v>77.5</v>
      </c>
      <c r="R26" s="50">
        <v>89</v>
      </c>
      <c r="S26" s="50">
        <v>87</v>
      </c>
      <c r="T26" s="397">
        <f t="shared" si="5"/>
        <v>88</v>
      </c>
      <c r="U26" s="50">
        <v>83</v>
      </c>
      <c r="V26" s="50">
        <v>80</v>
      </c>
      <c r="W26" s="397">
        <f t="shared" si="6"/>
        <v>81.5</v>
      </c>
      <c r="X26" s="50">
        <v>78</v>
      </c>
      <c r="Y26" s="50">
        <v>76</v>
      </c>
      <c r="Z26" s="397">
        <f t="shared" si="7"/>
        <v>77</v>
      </c>
      <c r="AA26" s="50">
        <v>77</v>
      </c>
      <c r="AB26" s="50">
        <v>77</v>
      </c>
      <c r="AC26" s="397">
        <f t="shared" si="8"/>
        <v>77</v>
      </c>
      <c r="AD26" s="50">
        <v>84</v>
      </c>
      <c r="AE26" s="50">
        <v>82</v>
      </c>
      <c r="AF26" s="397">
        <f t="shared" si="9"/>
        <v>83</v>
      </c>
      <c r="AG26" s="49"/>
      <c r="AH26" s="50"/>
      <c r="AI26" s="397" t="str">
        <f t="shared" si="10"/>
        <v/>
      </c>
      <c r="AJ26" s="50"/>
      <c r="AK26" s="50"/>
      <c r="AL26" s="397" t="str">
        <f t="shared" si="11"/>
        <v/>
      </c>
      <c r="AM26" s="396">
        <f t="shared" si="12"/>
        <v>83.333333333333329</v>
      </c>
      <c r="AN26" s="396">
        <f t="shared" si="12"/>
        <v>80.111111111111114</v>
      </c>
      <c r="AO26" s="396">
        <f t="shared" si="13"/>
        <v>735.5</v>
      </c>
      <c r="AP26" s="396">
        <f t="shared" si="14"/>
        <v>81.722222222222229</v>
      </c>
      <c r="AR26" s="35" t="str">
        <f t="shared" si="0"/>
        <v>Sembunyikan</v>
      </c>
    </row>
    <row r="27" spans="2:44">
      <c r="B27" s="7">
        <v>18</v>
      </c>
      <c r="C27" s="7" t="str">
        <f>'Data Siswa'!C21&amp;""</f>
        <v>2902</v>
      </c>
      <c r="D27" s="11" t="str">
        <f>'Data Siswa'!F21&amp;""</f>
        <v/>
      </c>
      <c r="E27" s="434"/>
      <c r="F27" s="50">
        <v>98</v>
      </c>
      <c r="G27" s="50">
        <v>90</v>
      </c>
      <c r="H27" s="397">
        <f t="shared" si="1"/>
        <v>94</v>
      </c>
      <c r="I27" s="50">
        <v>90</v>
      </c>
      <c r="J27" s="50">
        <v>86</v>
      </c>
      <c r="K27" s="397">
        <f t="shared" si="2"/>
        <v>88</v>
      </c>
      <c r="L27" s="50">
        <v>87</v>
      </c>
      <c r="M27" s="50">
        <v>81</v>
      </c>
      <c r="N27" s="397">
        <f t="shared" si="3"/>
        <v>84</v>
      </c>
      <c r="O27" s="50">
        <v>81</v>
      </c>
      <c r="P27" s="50">
        <v>81</v>
      </c>
      <c r="Q27" s="397">
        <f t="shared" si="4"/>
        <v>81</v>
      </c>
      <c r="R27" s="50">
        <v>90</v>
      </c>
      <c r="S27" s="50">
        <v>84</v>
      </c>
      <c r="T27" s="397">
        <f t="shared" si="5"/>
        <v>87</v>
      </c>
      <c r="U27" s="50">
        <v>90</v>
      </c>
      <c r="V27" s="50">
        <v>85</v>
      </c>
      <c r="W27" s="397">
        <f t="shared" si="6"/>
        <v>87.5</v>
      </c>
      <c r="X27" s="50">
        <v>85</v>
      </c>
      <c r="Y27" s="50">
        <v>82</v>
      </c>
      <c r="Z27" s="397">
        <f t="shared" si="7"/>
        <v>83.5</v>
      </c>
      <c r="AA27" s="50">
        <v>87</v>
      </c>
      <c r="AB27" s="50">
        <v>88</v>
      </c>
      <c r="AC27" s="397">
        <f t="shared" si="8"/>
        <v>87.5</v>
      </c>
      <c r="AD27" s="50">
        <v>89</v>
      </c>
      <c r="AE27" s="50">
        <v>81</v>
      </c>
      <c r="AF27" s="397">
        <f t="shared" si="9"/>
        <v>85</v>
      </c>
      <c r="AG27" s="49"/>
      <c r="AH27" s="50"/>
      <c r="AI27" s="397" t="str">
        <f t="shared" si="10"/>
        <v/>
      </c>
      <c r="AJ27" s="50"/>
      <c r="AK27" s="50"/>
      <c r="AL27" s="397" t="str">
        <f t="shared" si="11"/>
        <v/>
      </c>
      <c r="AM27" s="396">
        <f t="shared" si="12"/>
        <v>88.555555555555557</v>
      </c>
      <c r="AN27" s="396">
        <f t="shared" si="12"/>
        <v>84.222222222222229</v>
      </c>
      <c r="AO27" s="396">
        <f t="shared" si="13"/>
        <v>777.5</v>
      </c>
      <c r="AP27" s="396">
        <f t="shared" si="14"/>
        <v>86.388888888888886</v>
      </c>
      <c r="AR27" s="35" t="str">
        <f t="shared" si="0"/>
        <v>Sembunyikan</v>
      </c>
    </row>
    <row r="28" spans="2:44">
      <c r="B28" s="7">
        <v>19</v>
      </c>
      <c r="C28" s="7" t="str">
        <f>'Data Siswa'!C22&amp;""</f>
        <v>2904</v>
      </c>
      <c r="D28" s="11" t="str">
        <f>'Data Siswa'!F22&amp;""</f>
        <v/>
      </c>
      <c r="E28" s="434"/>
      <c r="F28" s="50">
        <v>95</v>
      </c>
      <c r="G28" s="50">
        <v>86</v>
      </c>
      <c r="H28" s="397">
        <f t="shared" si="1"/>
        <v>90.5</v>
      </c>
      <c r="I28" s="50">
        <v>81</v>
      </c>
      <c r="J28" s="50">
        <v>80</v>
      </c>
      <c r="K28" s="397">
        <f t="shared" si="2"/>
        <v>80.5</v>
      </c>
      <c r="L28" s="50">
        <v>79</v>
      </c>
      <c r="M28" s="50">
        <v>76</v>
      </c>
      <c r="N28" s="397">
        <f t="shared" si="3"/>
        <v>77.5</v>
      </c>
      <c r="O28" s="50">
        <v>75</v>
      </c>
      <c r="P28" s="50">
        <v>77</v>
      </c>
      <c r="Q28" s="397">
        <f t="shared" si="4"/>
        <v>76</v>
      </c>
      <c r="R28" s="50">
        <v>79</v>
      </c>
      <c r="S28" s="50">
        <v>81</v>
      </c>
      <c r="T28" s="397">
        <f t="shared" si="5"/>
        <v>80</v>
      </c>
      <c r="U28" s="50">
        <v>85</v>
      </c>
      <c r="V28" s="50">
        <v>74</v>
      </c>
      <c r="W28" s="397">
        <f t="shared" si="6"/>
        <v>79.5</v>
      </c>
      <c r="X28" s="50">
        <v>73</v>
      </c>
      <c r="Y28" s="50">
        <v>74</v>
      </c>
      <c r="Z28" s="397">
        <f t="shared" si="7"/>
        <v>73.5</v>
      </c>
      <c r="AA28" s="50">
        <v>80</v>
      </c>
      <c r="AB28" s="50">
        <v>80</v>
      </c>
      <c r="AC28" s="397">
        <f t="shared" si="8"/>
        <v>80</v>
      </c>
      <c r="AD28" s="50">
        <v>78</v>
      </c>
      <c r="AE28" s="50">
        <v>77</v>
      </c>
      <c r="AF28" s="397">
        <f t="shared" si="9"/>
        <v>77.5</v>
      </c>
      <c r="AG28" s="49"/>
      <c r="AH28" s="50"/>
      <c r="AI28" s="397" t="str">
        <f t="shared" si="10"/>
        <v/>
      </c>
      <c r="AJ28" s="50"/>
      <c r="AK28" s="50"/>
      <c r="AL28" s="397" t="str">
        <f t="shared" si="11"/>
        <v/>
      </c>
      <c r="AM28" s="396">
        <f t="shared" si="12"/>
        <v>80.555555555555557</v>
      </c>
      <c r="AN28" s="396">
        <f t="shared" si="12"/>
        <v>78.333333333333329</v>
      </c>
      <c r="AO28" s="396">
        <f t="shared" si="13"/>
        <v>715</v>
      </c>
      <c r="AP28" s="396">
        <f t="shared" si="14"/>
        <v>79.444444444444443</v>
      </c>
      <c r="AR28" s="35" t="str">
        <f t="shared" si="0"/>
        <v>Sembunyikan</v>
      </c>
    </row>
    <row r="29" spans="2:44">
      <c r="B29" s="7">
        <v>20</v>
      </c>
      <c r="C29" s="7" t="str">
        <f>'Data Siswa'!C23&amp;""</f>
        <v>1111</v>
      </c>
      <c r="D29" s="11" t="str">
        <f>'Data Siswa'!F23&amp;""</f>
        <v/>
      </c>
      <c r="E29" s="434"/>
      <c r="F29" s="50">
        <v>86</v>
      </c>
      <c r="G29" s="50">
        <v>88</v>
      </c>
      <c r="H29" s="397">
        <f t="shared" si="1"/>
        <v>87</v>
      </c>
      <c r="I29" s="50">
        <v>87</v>
      </c>
      <c r="J29" s="50">
        <v>85</v>
      </c>
      <c r="K29" s="397">
        <f t="shared" si="2"/>
        <v>86</v>
      </c>
      <c r="L29" s="50">
        <v>92</v>
      </c>
      <c r="M29" s="50">
        <v>86</v>
      </c>
      <c r="N29" s="397">
        <f t="shared" si="3"/>
        <v>89</v>
      </c>
      <c r="O29" s="50">
        <v>79</v>
      </c>
      <c r="P29" s="50">
        <v>86</v>
      </c>
      <c r="Q29" s="397">
        <f t="shared" si="4"/>
        <v>82.5</v>
      </c>
      <c r="R29" s="50">
        <v>83</v>
      </c>
      <c r="S29" s="50">
        <v>85</v>
      </c>
      <c r="T29" s="397">
        <f t="shared" si="5"/>
        <v>84</v>
      </c>
      <c r="U29" s="50">
        <v>83</v>
      </c>
      <c r="V29" s="50">
        <v>87</v>
      </c>
      <c r="W29" s="397">
        <f t="shared" si="6"/>
        <v>85</v>
      </c>
      <c r="X29" s="50">
        <v>89</v>
      </c>
      <c r="Y29" s="50">
        <v>86</v>
      </c>
      <c r="Z29" s="397">
        <f t="shared" si="7"/>
        <v>87.5</v>
      </c>
      <c r="AA29" s="50">
        <v>83</v>
      </c>
      <c r="AB29" s="50">
        <v>87</v>
      </c>
      <c r="AC29" s="397">
        <f t="shared" si="8"/>
        <v>85</v>
      </c>
      <c r="AD29" s="50">
        <v>84</v>
      </c>
      <c r="AE29" s="50">
        <v>89</v>
      </c>
      <c r="AF29" s="397">
        <f t="shared" si="9"/>
        <v>86.5</v>
      </c>
      <c r="AG29" s="49"/>
      <c r="AH29" s="50"/>
      <c r="AI29" s="397" t="str">
        <f t="shared" si="10"/>
        <v/>
      </c>
      <c r="AJ29" s="50"/>
      <c r="AK29" s="50"/>
      <c r="AL29" s="397" t="str">
        <f t="shared" si="11"/>
        <v/>
      </c>
      <c r="AM29" s="396">
        <f t="shared" si="12"/>
        <v>85.111111111111114</v>
      </c>
      <c r="AN29" s="396">
        <f t="shared" si="12"/>
        <v>86.555555555555557</v>
      </c>
      <c r="AO29" s="396">
        <f t="shared" si="13"/>
        <v>772.5</v>
      </c>
      <c r="AP29" s="396">
        <f t="shared" si="14"/>
        <v>85.833333333333329</v>
      </c>
      <c r="AR29" s="35" t="str">
        <f t="shared" si="0"/>
        <v>Sembunyikan</v>
      </c>
    </row>
    <row r="30" spans="2:44">
      <c r="B30" s="7">
        <v>21</v>
      </c>
      <c r="C30" s="7" t="str">
        <f>'Data Siswa'!C24&amp;""</f>
        <v>2906</v>
      </c>
      <c r="D30" s="11" t="str">
        <f>'Data Siswa'!F24&amp;""</f>
        <v/>
      </c>
      <c r="E30" s="434"/>
      <c r="F30" s="50">
        <v>91</v>
      </c>
      <c r="G30" s="50">
        <v>83</v>
      </c>
      <c r="H30" s="397">
        <f t="shared" si="1"/>
        <v>87</v>
      </c>
      <c r="I30" s="50">
        <v>77</v>
      </c>
      <c r="J30" s="50">
        <v>76</v>
      </c>
      <c r="K30" s="397">
        <f t="shared" si="2"/>
        <v>76.5</v>
      </c>
      <c r="L30" s="50">
        <v>73</v>
      </c>
      <c r="M30" s="50">
        <v>71</v>
      </c>
      <c r="N30" s="397">
        <f t="shared" si="3"/>
        <v>72</v>
      </c>
      <c r="O30" s="50">
        <v>62</v>
      </c>
      <c r="P30" s="50">
        <v>65</v>
      </c>
      <c r="Q30" s="397">
        <f t="shared" si="4"/>
        <v>63.5</v>
      </c>
      <c r="R30" s="50">
        <v>73</v>
      </c>
      <c r="S30" s="50">
        <v>75</v>
      </c>
      <c r="T30" s="397">
        <f t="shared" si="5"/>
        <v>74</v>
      </c>
      <c r="U30" s="50">
        <v>72</v>
      </c>
      <c r="V30" s="50">
        <v>72</v>
      </c>
      <c r="W30" s="397">
        <f t="shared" si="6"/>
        <v>72</v>
      </c>
      <c r="X30" s="50">
        <v>79</v>
      </c>
      <c r="Y30" s="50">
        <v>73</v>
      </c>
      <c r="Z30" s="397">
        <f t="shared" si="7"/>
        <v>76</v>
      </c>
      <c r="AA30" s="50">
        <v>75</v>
      </c>
      <c r="AB30" s="50">
        <v>75</v>
      </c>
      <c r="AC30" s="397">
        <f t="shared" si="8"/>
        <v>75</v>
      </c>
      <c r="AD30" s="50">
        <v>73</v>
      </c>
      <c r="AE30" s="50">
        <v>75</v>
      </c>
      <c r="AF30" s="397">
        <f t="shared" si="9"/>
        <v>74</v>
      </c>
      <c r="AG30" s="49"/>
      <c r="AH30" s="50"/>
      <c r="AI30" s="397" t="str">
        <f t="shared" si="10"/>
        <v/>
      </c>
      <c r="AJ30" s="50"/>
      <c r="AK30" s="50"/>
      <c r="AL30" s="397" t="str">
        <f t="shared" si="11"/>
        <v/>
      </c>
      <c r="AM30" s="396">
        <f t="shared" si="12"/>
        <v>75</v>
      </c>
      <c r="AN30" s="396">
        <f t="shared" si="12"/>
        <v>73.888888888888886</v>
      </c>
      <c r="AO30" s="396">
        <f t="shared" si="13"/>
        <v>670</v>
      </c>
      <c r="AP30" s="396">
        <f t="shared" si="14"/>
        <v>74.444444444444443</v>
      </c>
      <c r="AR30" s="35" t="str">
        <f t="shared" si="0"/>
        <v>Sembunyikan</v>
      </c>
    </row>
    <row r="31" spans="2:44">
      <c r="B31" s="7">
        <v>22</v>
      </c>
      <c r="C31" s="7" t="str">
        <f>'Data Siswa'!C25&amp;""</f>
        <v/>
      </c>
      <c r="D31" s="11" t="str">
        <f>'Data Siswa'!F25&amp;""</f>
        <v/>
      </c>
      <c r="E31" s="434"/>
      <c r="F31" s="50"/>
      <c r="G31" s="50"/>
      <c r="H31" s="397" t="str">
        <f t="shared" si="1"/>
        <v/>
      </c>
      <c r="I31" s="50"/>
      <c r="J31" s="50"/>
      <c r="K31" s="397" t="str">
        <f t="shared" si="2"/>
        <v/>
      </c>
      <c r="L31" s="50"/>
      <c r="M31" s="50"/>
      <c r="N31" s="397" t="str">
        <f t="shared" si="3"/>
        <v/>
      </c>
      <c r="O31" s="50"/>
      <c r="P31" s="50"/>
      <c r="Q31" s="397" t="str">
        <f t="shared" si="4"/>
        <v/>
      </c>
      <c r="R31" s="50"/>
      <c r="S31" s="50"/>
      <c r="T31" s="397" t="str">
        <f t="shared" si="5"/>
        <v/>
      </c>
      <c r="U31" s="50"/>
      <c r="V31" s="50"/>
      <c r="W31" s="397" t="str">
        <f t="shared" si="6"/>
        <v/>
      </c>
      <c r="X31" s="50"/>
      <c r="Y31" s="50"/>
      <c r="Z31" s="397" t="str">
        <f t="shared" si="7"/>
        <v/>
      </c>
      <c r="AA31" s="50"/>
      <c r="AB31" s="50"/>
      <c r="AC31" s="397" t="str">
        <f t="shared" si="8"/>
        <v/>
      </c>
      <c r="AD31" s="50"/>
      <c r="AE31" s="50"/>
      <c r="AF31" s="397" t="str">
        <f t="shared" si="9"/>
        <v/>
      </c>
      <c r="AG31" s="49"/>
      <c r="AH31" s="50"/>
      <c r="AI31" s="397" t="str">
        <f t="shared" si="10"/>
        <v/>
      </c>
      <c r="AJ31" s="50"/>
      <c r="AK31" s="50"/>
      <c r="AL31" s="397" t="str">
        <f t="shared" si="11"/>
        <v/>
      </c>
      <c r="AM31" s="396" t="str">
        <f t="shared" si="12"/>
        <v/>
      </c>
      <c r="AN31" s="396" t="str">
        <f t="shared" si="12"/>
        <v/>
      </c>
      <c r="AO31" s="396" t="str">
        <f t="shared" si="13"/>
        <v/>
      </c>
      <c r="AP31" s="396" t="str">
        <f t="shared" si="14"/>
        <v/>
      </c>
      <c r="AR31" s="35" t="str">
        <f t="shared" si="0"/>
        <v>Sembunyikan</v>
      </c>
    </row>
    <row r="32" spans="2:44">
      <c r="B32" s="7">
        <v>23</v>
      </c>
      <c r="C32" s="7" t="str">
        <f>'Data Siswa'!C26&amp;""</f>
        <v/>
      </c>
      <c r="D32" s="11" t="str">
        <f>'Data Siswa'!F26&amp;""</f>
        <v/>
      </c>
      <c r="E32" s="434"/>
      <c r="F32" s="50"/>
      <c r="G32" s="50"/>
      <c r="H32" s="397" t="str">
        <f t="shared" si="1"/>
        <v/>
      </c>
      <c r="I32" s="50"/>
      <c r="J32" s="50"/>
      <c r="K32" s="397" t="str">
        <f t="shared" si="2"/>
        <v/>
      </c>
      <c r="L32" s="50"/>
      <c r="M32" s="50"/>
      <c r="N32" s="397" t="str">
        <f t="shared" si="3"/>
        <v/>
      </c>
      <c r="O32" s="50"/>
      <c r="P32" s="50"/>
      <c r="Q32" s="397" t="str">
        <f t="shared" si="4"/>
        <v/>
      </c>
      <c r="R32" s="50"/>
      <c r="S32" s="50"/>
      <c r="T32" s="397" t="str">
        <f t="shared" si="5"/>
        <v/>
      </c>
      <c r="U32" s="50"/>
      <c r="V32" s="50"/>
      <c r="W32" s="397" t="str">
        <f t="shared" si="6"/>
        <v/>
      </c>
      <c r="X32" s="50"/>
      <c r="Y32" s="50"/>
      <c r="Z32" s="397" t="str">
        <f t="shared" si="7"/>
        <v/>
      </c>
      <c r="AA32" s="50"/>
      <c r="AB32" s="50"/>
      <c r="AC32" s="397" t="str">
        <f t="shared" si="8"/>
        <v/>
      </c>
      <c r="AD32" s="50"/>
      <c r="AE32" s="50"/>
      <c r="AF32" s="397" t="str">
        <f t="shared" si="9"/>
        <v/>
      </c>
      <c r="AG32" s="49"/>
      <c r="AH32" s="50"/>
      <c r="AI32" s="397" t="str">
        <f t="shared" si="10"/>
        <v/>
      </c>
      <c r="AJ32" s="50"/>
      <c r="AK32" s="50"/>
      <c r="AL32" s="397" t="str">
        <f t="shared" si="11"/>
        <v/>
      </c>
      <c r="AM32" s="396" t="str">
        <f t="shared" si="12"/>
        <v/>
      </c>
      <c r="AN32" s="396" t="str">
        <f t="shared" si="12"/>
        <v/>
      </c>
      <c r="AO32" s="396" t="str">
        <f t="shared" si="13"/>
        <v/>
      </c>
      <c r="AP32" s="396" t="str">
        <f t="shared" si="14"/>
        <v/>
      </c>
      <c r="AR32" s="35" t="str">
        <f t="shared" si="0"/>
        <v>Sembunyikan</v>
      </c>
    </row>
    <row r="33" spans="2:44">
      <c r="B33" s="7">
        <v>24</v>
      </c>
      <c r="C33" s="7" t="str">
        <f>'Data Siswa'!C27&amp;""</f>
        <v/>
      </c>
      <c r="D33" s="11" t="str">
        <f>'Data Siswa'!F27&amp;""</f>
        <v/>
      </c>
      <c r="E33" s="434"/>
      <c r="F33" s="50"/>
      <c r="G33" s="50"/>
      <c r="H33" s="397" t="str">
        <f t="shared" si="1"/>
        <v/>
      </c>
      <c r="I33" s="50"/>
      <c r="J33" s="50"/>
      <c r="K33" s="397" t="str">
        <f t="shared" si="2"/>
        <v/>
      </c>
      <c r="L33" s="50"/>
      <c r="M33" s="50"/>
      <c r="N33" s="397" t="str">
        <f t="shared" si="3"/>
        <v/>
      </c>
      <c r="O33" s="50"/>
      <c r="P33" s="50"/>
      <c r="Q33" s="397" t="str">
        <f t="shared" si="4"/>
        <v/>
      </c>
      <c r="R33" s="50"/>
      <c r="S33" s="50"/>
      <c r="T33" s="397" t="str">
        <f t="shared" si="5"/>
        <v/>
      </c>
      <c r="U33" s="50"/>
      <c r="V33" s="50"/>
      <c r="W33" s="397" t="str">
        <f t="shared" si="6"/>
        <v/>
      </c>
      <c r="X33" s="50"/>
      <c r="Y33" s="50"/>
      <c r="Z33" s="397" t="str">
        <f t="shared" si="7"/>
        <v/>
      </c>
      <c r="AA33" s="50"/>
      <c r="AB33" s="50"/>
      <c r="AC33" s="397" t="str">
        <f t="shared" si="8"/>
        <v/>
      </c>
      <c r="AD33" s="50"/>
      <c r="AE33" s="50"/>
      <c r="AF33" s="397" t="str">
        <f t="shared" si="9"/>
        <v/>
      </c>
      <c r="AG33" s="49"/>
      <c r="AH33" s="50"/>
      <c r="AI33" s="397" t="str">
        <f t="shared" si="10"/>
        <v/>
      </c>
      <c r="AJ33" s="50"/>
      <c r="AK33" s="50"/>
      <c r="AL33" s="397" t="str">
        <f t="shared" si="11"/>
        <v/>
      </c>
      <c r="AM33" s="396" t="str">
        <f t="shared" si="12"/>
        <v/>
      </c>
      <c r="AN33" s="396" t="str">
        <f t="shared" si="12"/>
        <v/>
      </c>
      <c r="AO33" s="396" t="str">
        <f t="shared" si="13"/>
        <v/>
      </c>
      <c r="AP33" s="396" t="str">
        <f t="shared" si="14"/>
        <v/>
      </c>
      <c r="AR33" s="35" t="str">
        <f t="shared" si="0"/>
        <v>Sembunyikan</v>
      </c>
    </row>
    <row r="34" spans="2:44">
      <c r="B34" s="7">
        <v>25</v>
      </c>
      <c r="C34" s="7" t="str">
        <f>'Data Siswa'!C28&amp;""</f>
        <v/>
      </c>
      <c r="D34" s="11" t="str">
        <f>'Data Siswa'!F28&amp;""</f>
        <v/>
      </c>
      <c r="E34" s="434"/>
      <c r="F34" s="50"/>
      <c r="G34" s="50"/>
      <c r="H34" s="397" t="str">
        <f t="shared" si="1"/>
        <v/>
      </c>
      <c r="I34" s="50"/>
      <c r="J34" s="50"/>
      <c r="K34" s="397" t="str">
        <f t="shared" si="2"/>
        <v/>
      </c>
      <c r="L34" s="50"/>
      <c r="M34" s="50"/>
      <c r="N34" s="397" t="str">
        <f t="shared" si="3"/>
        <v/>
      </c>
      <c r="O34" s="50"/>
      <c r="P34" s="50"/>
      <c r="Q34" s="397" t="str">
        <f t="shared" si="4"/>
        <v/>
      </c>
      <c r="R34" s="50"/>
      <c r="S34" s="50"/>
      <c r="T34" s="397" t="str">
        <f t="shared" si="5"/>
        <v/>
      </c>
      <c r="U34" s="50"/>
      <c r="V34" s="50"/>
      <c r="W34" s="397" t="str">
        <f t="shared" si="6"/>
        <v/>
      </c>
      <c r="X34" s="50"/>
      <c r="Y34" s="50"/>
      <c r="Z34" s="397" t="str">
        <f t="shared" si="7"/>
        <v/>
      </c>
      <c r="AA34" s="50"/>
      <c r="AB34" s="50"/>
      <c r="AC34" s="397" t="str">
        <f t="shared" si="8"/>
        <v/>
      </c>
      <c r="AD34" s="50"/>
      <c r="AE34" s="50"/>
      <c r="AF34" s="397" t="str">
        <f t="shared" si="9"/>
        <v/>
      </c>
      <c r="AG34" s="49"/>
      <c r="AH34" s="50"/>
      <c r="AI34" s="397" t="str">
        <f t="shared" si="10"/>
        <v/>
      </c>
      <c r="AJ34" s="50"/>
      <c r="AK34" s="50"/>
      <c r="AL34" s="397" t="str">
        <f t="shared" si="11"/>
        <v/>
      </c>
      <c r="AM34" s="396" t="str">
        <f t="shared" si="12"/>
        <v/>
      </c>
      <c r="AN34" s="396" t="str">
        <f t="shared" si="12"/>
        <v/>
      </c>
      <c r="AO34" s="396" t="str">
        <f t="shared" si="13"/>
        <v/>
      </c>
      <c r="AP34" s="396" t="str">
        <f t="shared" si="14"/>
        <v/>
      </c>
      <c r="AR34" s="35" t="str">
        <f t="shared" si="0"/>
        <v>Sembunyikan</v>
      </c>
    </row>
    <row r="35" spans="2:44">
      <c r="B35" s="7">
        <v>26</v>
      </c>
      <c r="C35" s="7" t="str">
        <f>'Data Siswa'!C29&amp;""</f>
        <v/>
      </c>
      <c r="D35" s="11" t="str">
        <f>'Data Siswa'!F29&amp;""</f>
        <v/>
      </c>
      <c r="E35" s="435"/>
      <c r="F35" s="50"/>
      <c r="G35" s="50"/>
      <c r="H35" s="397" t="str">
        <f t="shared" si="1"/>
        <v/>
      </c>
      <c r="I35" s="50"/>
      <c r="J35" s="50"/>
      <c r="K35" s="397" t="str">
        <f t="shared" si="2"/>
        <v/>
      </c>
      <c r="L35" s="50"/>
      <c r="M35" s="50"/>
      <c r="N35" s="397" t="str">
        <f t="shared" si="3"/>
        <v/>
      </c>
      <c r="O35" s="50"/>
      <c r="P35" s="50"/>
      <c r="Q35" s="397" t="str">
        <f t="shared" si="4"/>
        <v/>
      </c>
      <c r="R35" s="50"/>
      <c r="S35" s="50"/>
      <c r="T35" s="397" t="str">
        <f t="shared" si="5"/>
        <v/>
      </c>
      <c r="U35" s="50"/>
      <c r="V35" s="50"/>
      <c r="W35" s="397" t="str">
        <f t="shared" si="6"/>
        <v/>
      </c>
      <c r="X35" s="50"/>
      <c r="Y35" s="50"/>
      <c r="Z35" s="397" t="str">
        <f t="shared" si="7"/>
        <v/>
      </c>
      <c r="AA35" s="50"/>
      <c r="AB35" s="50"/>
      <c r="AC35" s="397" t="str">
        <f t="shared" si="8"/>
        <v/>
      </c>
      <c r="AD35" s="50"/>
      <c r="AE35" s="50"/>
      <c r="AF35" s="397" t="str">
        <f t="shared" si="9"/>
        <v/>
      </c>
      <c r="AG35" s="49"/>
      <c r="AH35" s="50"/>
      <c r="AI35" s="397" t="str">
        <f t="shared" si="10"/>
        <v/>
      </c>
      <c r="AJ35" s="50"/>
      <c r="AK35" s="50"/>
      <c r="AL35" s="397" t="str">
        <f t="shared" si="11"/>
        <v/>
      </c>
      <c r="AM35" s="396" t="str">
        <f t="shared" si="12"/>
        <v/>
      </c>
      <c r="AN35" s="396" t="str">
        <f t="shared" si="12"/>
        <v/>
      </c>
      <c r="AO35" s="396" t="str">
        <f t="shared" si="13"/>
        <v/>
      </c>
      <c r="AP35" s="396" t="str">
        <f t="shared" si="14"/>
        <v/>
      </c>
      <c r="AR35" s="35" t="str">
        <f t="shared" si="0"/>
        <v>Sembunyikan</v>
      </c>
    </row>
    <row r="36" spans="2:44">
      <c r="B36" s="7">
        <v>27</v>
      </c>
      <c r="C36" s="7" t="str">
        <f>'Data Siswa'!C30&amp;""</f>
        <v/>
      </c>
      <c r="D36" s="11" t="str">
        <f>'Data Siswa'!F30&amp;""</f>
        <v/>
      </c>
      <c r="E36" s="434"/>
      <c r="F36" s="50"/>
      <c r="G36" s="50"/>
      <c r="H36" s="397" t="str">
        <f t="shared" si="1"/>
        <v/>
      </c>
      <c r="I36" s="50"/>
      <c r="J36" s="50"/>
      <c r="K36" s="397" t="str">
        <f t="shared" si="2"/>
        <v/>
      </c>
      <c r="L36" s="50"/>
      <c r="M36" s="50"/>
      <c r="N36" s="397" t="str">
        <f t="shared" si="3"/>
        <v/>
      </c>
      <c r="O36" s="50"/>
      <c r="P36" s="50"/>
      <c r="Q36" s="397" t="str">
        <f t="shared" si="4"/>
        <v/>
      </c>
      <c r="R36" s="50"/>
      <c r="S36" s="50"/>
      <c r="T36" s="397" t="str">
        <f t="shared" si="5"/>
        <v/>
      </c>
      <c r="U36" s="50"/>
      <c r="V36" s="50"/>
      <c r="W36" s="397" t="str">
        <f t="shared" si="6"/>
        <v/>
      </c>
      <c r="X36" s="50"/>
      <c r="Y36" s="50"/>
      <c r="Z36" s="397" t="str">
        <f t="shared" si="7"/>
        <v/>
      </c>
      <c r="AA36" s="50"/>
      <c r="AB36" s="50"/>
      <c r="AC36" s="397" t="str">
        <f t="shared" si="8"/>
        <v/>
      </c>
      <c r="AD36" s="50"/>
      <c r="AE36" s="50"/>
      <c r="AF36" s="397" t="str">
        <f t="shared" si="9"/>
        <v/>
      </c>
      <c r="AG36" s="49"/>
      <c r="AH36" s="50"/>
      <c r="AI36" s="397" t="str">
        <f t="shared" si="10"/>
        <v/>
      </c>
      <c r="AJ36" s="50"/>
      <c r="AK36" s="50"/>
      <c r="AL36" s="397" t="str">
        <f t="shared" si="11"/>
        <v/>
      </c>
      <c r="AM36" s="396" t="str">
        <f t="shared" si="12"/>
        <v/>
      </c>
      <c r="AN36" s="396" t="str">
        <f t="shared" si="12"/>
        <v/>
      </c>
      <c r="AO36" s="396" t="str">
        <f t="shared" si="13"/>
        <v/>
      </c>
      <c r="AP36" s="396" t="str">
        <f t="shared" si="14"/>
        <v/>
      </c>
      <c r="AR36" s="35" t="str">
        <f t="shared" si="0"/>
        <v>Sembunyikan</v>
      </c>
    </row>
    <row r="37" spans="2:44">
      <c r="B37" s="7">
        <v>28</v>
      </c>
      <c r="C37" s="7" t="str">
        <f>'Data Siswa'!C31&amp;""</f>
        <v/>
      </c>
      <c r="D37" s="11" t="str">
        <f>'Data Siswa'!F31&amp;""</f>
        <v/>
      </c>
      <c r="E37" s="434"/>
      <c r="F37" s="50"/>
      <c r="G37" s="50"/>
      <c r="H37" s="397" t="str">
        <f t="shared" si="1"/>
        <v/>
      </c>
      <c r="I37" s="50"/>
      <c r="J37" s="50"/>
      <c r="K37" s="397" t="str">
        <f t="shared" si="2"/>
        <v/>
      </c>
      <c r="L37" s="50"/>
      <c r="M37" s="50"/>
      <c r="N37" s="397" t="str">
        <f t="shared" si="3"/>
        <v/>
      </c>
      <c r="O37" s="50"/>
      <c r="P37" s="50"/>
      <c r="Q37" s="397" t="str">
        <f t="shared" si="4"/>
        <v/>
      </c>
      <c r="R37" s="50"/>
      <c r="S37" s="50"/>
      <c r="T37" s="397" t="str">
        <f t="shared" si="5"/>
        <v/>
      </c>
      <c r="U37" s="50"/>
      <c r="V37" s="50"/>
      <c r="W37" s="397" t="str">
        <f t="shared" si="6"/>
        <v/>
      </c>
      <c r="X37" s="50"/>
      <c r="Y37" s="50"/>
      <c r="Z37" s="397" t="str">
        <f t="shared" si="7"/>
        <v/>
      </c>
      <c r="AA37" s="50"/>
      <c r="AB37" s="50"/>
      <c r="AC37" s="397" t="str">
        <f t="shared" si="8"/>
        <v/>
      </c>
      <c r="AD37" s="50"/>
      <c r="AE37" s="50"/>
      <c r="AF37" s="397" t="str">
        <f t="shared" si="9"/>
        <v/>
      </c>
      <c r="AG37" s="49"/>
      <c r="AH37" s="50"/>
      <c r="AI37" s="397" t="str">
        <f t="shared" si="10"/>
        <v/>
      </c>
      <c r="AJ37" s="50"/>
      <c r="AK37" s="50"/>
      <c r="AL37" s="397" t="str">
        <f t="shared" si="11"/>
        <v/>
      </c>
      <c r="AM37" s="396" t="str">
        <f t="shared" si="12"/>
        <v/>
      </c>
      <c r="AN37" s="396" t="str">
        <f t="shared" si="12"/>
        <v/>
      </c>
      <c r="AO37" s="396" t="str">
        <f t="shared" si="13"/>
        <v/>
      </c>
      <c r="AP37" s="396" t="str">
        <f t="shared" si="14"/>
        <v/>
      </c>
      <c r="AR37" s="35" t="str">
        <f t="shared" si="0"/>
        <v>Sembunyikan</v>
      </c>
    </row>
    <row r="38" spans="2:44">
      <c r="B38" s="7">
        <v>29</v>
      </c>
      <c r="C38" s="7" t="str">
        <f>'Data Siswa'!C32&amp;""</f>
        <v/>
      </c>
      <c r="D38" s="11" t="str">
        <f>'Data Siswa'!F32&amp;""</f>
        <v/>
      </c>
      <c r="E38" s="434"/>
      <c r="F38" s="50"/>
      <c r="G38" s="50"/>
      <c r="H38" s="397" t="str">
        <f t="shared" si="1"/>
        <v/>
      </c>
      <c r="I38" s="50"/>
      <c r="J38" s="50"/>
      <c r="K38" s="397" t="str">
        <f t="shared" si="2"/>
        <v/>
      </c>
      <c r="L38" s="50"/>
      <c r="M38" s="50"/>
      <c r="N38" s="397" t="str">
        <f t="shared" si="3"/>
        <v/>
      </c>
      <c r="O38" s="50"/>
      <c r="P38" s="50"/>
      <c r="Q38" s="397" t="str">
        <f t="shared" si="4"/>
        <v/>
      </c>
      <c r="R38" s="50"/>
      <c r="S38" s="50"/>
      <c r="T38" s="397" t="str">
        <f t="shared" si="5"/>
        <v/>
      </c>
      <c r="U38" s="50"/>
      <c r="V38" s="50"/>
      <c r="W38" s="397" t="str">
        <f t="shared" si="6"/>
        <v/>
      </c>
      <c r="X38" s="50"/>
      <c r="Y38" s="50"/>
      <c r="Z38" s="397" t="str">
        <f t="shared" si="7"/>
        <v/>
      </c>
      <c r="AA38" s="50"/>
      <c r="AB38" s="50"/>
      <c r="AC38" s="397" t="str">
        <f t="shared" si="8"/>
        <v/>
      </c>
      <c r="AD38" s="50"/>
      <c r="AE38" s="50"/>
      <c r="AF38" s="397" t="str">
        <f t="shared" si="9"/>
        <v/>
      </c>
      <c r="AG38" s="49"/>
      <c r="AH38" s="50"/>
      <c r="AI38" s="397" t="str">
        <f t="shared" si="10"/>
        <v/>
      </c>
      <c r="AJ38" s="50"/>
      <c r="AK38" s="50"/>
      <c r="AL38" s="397" t="str">
        <f t="shared" si="11"/>
        <v/>
      </c>
      <c r="AM38" s="396" t="str">
        <f t="shared" si="12"/>
        <v/>
      </c>
      <c r="AN38" s="396" t="str">
        <f t="shared" si="12"/>
        <v/>
      </c>
      <c r="AO38" s="396" t="str">
        <f t="shared" si="13"/>
        <v/>
      </c>
      <c r="AP38" s="396" t="str">
        <f t="shared" si="14"/>
        <v/>
      </c>
      <c r="AR38" s="35" t="str">
        <f t="shared" si="0"/>
        <v>Sembunyikan</v>
      </c>
    </row>
    <row r="39" spans="2:44">
      <c r="B39" s="7">
        <v>30</v>
      </c>
      <c r="C39" s="7" t="str">
        <f>'Data Siswa'!C33&amp;""</f>
        <v/>
      </c>
      <c r="D39" s="11" t="str">
        <f>'Data Siswa'!F33&amp;""</f>
        <v/>
      </c>
      <c r="E39" s="434"/>
      <c r="F39" s="50"/>
      <c r="G39" s="50"/>
      <c r="H39" s="397" t="str">
        <f t="shared" si="1"/>
        <v/>
      </c>
      <c r="I39" s="50"/>
      <c r="J39" s="50"/>
      <c r="K39" s="397" t="str">
        <f t="shared" si="2"/>
        <v/>
      </c>
      <c r="L39" s="50"/>
      <c r="M39" s="50"/>
      <c r="N39" s="397" t="str">
        <f t="shared" si="3"/>
        <v/>
      </c>
      <c r="O39" s="50"/>
      <c r="P39" s="50"/>
      <c r="Q39" s="397" t="str">
        <f t="shared" si="4"/>
        <v/>
      </c>
      <c r="R39" s="50"/>
      <c r="S39" s="50"/>
      <c r="T39" s="397" t="str">
        <f t="shared" si="5"/>
        <v/>
      </c>
      <c r="U39" s="50"/>
      <c r="V39" s="50"/>
      <c r="W39" s="397" t="str">
        <f t="shared" si="6"/>
        <v/>
      </c>
      <c r="X39" s="50"/>
      <c r="Y39" s="50"/>
      <c r="Z39" s="397" t="str">
        <f t="shared" si="7"/>
        <v/>
      </c>
      <c r="AA39" s="50"/>
      <c r="AB39" s="50"/>
      <c r="AC39" s="397" t="str">
        <f t="shared" si="8"/>
        <v/>
      </c>
      <c r="AD39" s="50"/>
      <c r="AE39" s="50"/>
      <c r="AF39" s="397" t="str">
        <f t="shared" si="9"/>
        <v/>
      </c>
      <c r="AG39" s="49"/>
      <c r="AH39" s="50"/>
      <c r="AI39" s="397" t="str">
        <f t="shared" si="10"/>
        <v/>
      </c>
      <c r="AJ39" s="50"/>
      <c r="AK39" s="50"/>
      <c r="AL39" s="397" t="str">
        <f t="shared" si="11"/>
        <v/>
      </c>
      <c r="AM39" s="396" t="str">
        <f t="shared" si="12"/>
        <v/>
      </c>
      <c r="AN39" s="396" t="str">
        <f t="shared" si="12"/>
        <v/>
      </c>
      <c r="AO39" s="396" t="str">
        <f t="shared" si="13"/>
        <v/>
      </c>
      <c r="AP39" s="396" t="str">
        <f t="shared" si="14"/>
        <v/>
      </c>
      <c r="AR39" s="35" t="str">
        <f t="shared" si="0"/>
        <v>Sembunyikan</v>
      </c>
    </row>
    <row r="40" spans="2:44">
      <c r="B40" s="7">
        <v>31</v>
      </c>
      <c r="C40" s="7" t="str">
        <f>'Data Siswa'!C34&amp;""</f>
        <v/>
      </c>
      <c r="D40" s="11" t="str">
        <f>'Data Siswa'!F34&amp;""</f>
        <v/>
      </c>
      <c r="E40" s="434"/>
      <c r="F40" s="50"/>
      <c r="G40" s="50"/>
      <c r="H40" s="397" t="str">
        <f t="shared" si="1"/>
        <v/>
      </c>
      <c r="I40" s="50"/>
      <c r="J40" s="50"/>
      <c r="K40" s="397" t="str">
        <f t="shared" si="2"/>
        <v/>
      </c>
      <c r="L40" s="50"/>
      <c r="M40" s="50"/>
      <c r="N40" s="397" t="str">
        <f t="shared" si="3"/>
        <v/>
      </c>
      <c r="O40" s="50"/>
      <c r="P40" s="50"/>
      <c r="Q40" s="397" t="str">
        <f t="shared" si="4"/>
        <v/>
      </c>
      <c r="R40" s="50"/>
      <c r="S40" s="50"/>
      <c r="T40" s="397" t="str">
        <f t="shared" si="5"/>
        <v/>
      </c>
      <c r="U40" s="50"/>
      <c r="V40" s="50"/>
      <c r="W40" s="397" t="str">
        <f t="shared" si="6"/>
        <v/>
      </c>
      <c r="X40" s="50"/>
      <c r="Y40" s="50"/>
      <c r="Z40" s="397" t="str">
        <f t="shared" si="7"/>
        <v/>
      </c>
      <c r="AA40" s="50"/>
      <c r="AB40" s="50"/>
      <c r="AC40" s="397" t="str">
        <f t="shared" si="8"/>
        <v/>
      </c>
      <c r="AD40" s="50"/>
      <c r="AE40" s="50"/>
      <c r="AF40" s="397" t="str">
        <f t="shared" si="9"/>
        <v/>
      </c>
      <c r="AG40" s="49"/>
      <c r="AH40" s="50"/>
      <c r="AI40" s="397" t="str">
        <f t="shared" si="10"/>
        <v/>
      </c>
      <c r="AJ40" s="50"/>
      <c r="AK40" s="50"/>
      <c r="AL40" s="397" t="str">
        <f t="shared" si="11"/>
        <v/>
      </c>
      <c r="AM40" s="396" t="str">
        <f t="shared" si="12"/>
        <v/>
      </c>
      <c r="AN40" s="396" t="str">
        <f t="shared" si="12"/>
        <v/>
      </c>
      <c r="AO40" s="396" t="str">
        <f t="shared" si="13"/>
        <v/>
      </c>
      <c r="AP40" s="396" t="str">
        <f t="shared" si="14"/>
        <v/>
      </c>
      <c r="AR40" s="35" t="str">
        <f t="shared" si="0"/>
        <v>Sembunyikan</v>
      </c>
    </row>
    <row r="41" spans="2:44">
      <c r="B41" s="7">
        <v>32</v>
      </c>
      <c r="C41" s="7" t="str">
        <f>'Data Siswa'!C35&amp;""</f>
        <v/>
      </c>
      <c r="D41" s="11" t="str">
        <f>'Data Siswa'!F35&amp;""</f>
        <v/>
      </c>
      <c r="E41" s="434"/>
      <c r="F41" s="50"/>
      <c r="G41" s="50"/>
      <c r="H41" s="397" t="str">
        <f t="shared" si="1"/>
        <v/>
      </c>
      <c r="I41" s="50"/>
      <c r="J41" s="50"/>
      <c r="K41" s="397" t="str">
        <f t="shared" si="2"/>
        <v/>
      </c>
      <c r="L41" s="50"/>
      <c r="M41" s="50"/>
      <c r="N41" s="397" t="str">
        <f t="shared" si="3"/>
        <v/>
      </c>
      <c r="O41" s="50"/>
      <c r="P41" s="50"/>
      <c r="Q41" s="397" t="str">
        <f t="shared" si="4"/>
        <v/>
      </c>
      <c r="R41" s="50"/>
      <c r="S41" s="50"/>
      <c r="T41" s="397" t="str">
        <f t="shared" si="5"/>
        <v/>
      </c>
      <c r="U41" s="50"/>
      <c r="V41" s="50"/>
      <c r="W41" s="397" t="str">
        <f t="shared" si="6"/>
        <v/>
      </c>
      <c r="X41" s="50"/>
      <c r="Y41" s="50"/>
      <c r="Z41" s="397" t="str">
        <f t="shared" si="7"/>
        <v/>
      </c>
      <c r="AA41" s="50"/>
      <c r="AB41" s="50"/>
      <c r="AC41" s="397" t="str">
        <f t="shared" si="8"/>
        <v/>
      </c>
      <c r="AD41" s="50"/>
      <c r="AE41" s="50"/>
      <c r="AF41" s="397" t="str">
        <f t="shared" si="9"/>
        <v/>
      </c>
      <c r="AG41" s="49"/>
      <c r="AH41" s="50"/>
      <c r="AI41" s="397" t="str">
        <f t="shared" si="10"/>
        <v/>
      </c>
      <c r="AJ41" s="50"/>
      <c r="AK41" s="50"/>
      <c r="AL41" s="397" t="str">
        <f t="shared" si="11"/>
        <v/>
      </c>
      <c r="AM41" s="396" t="str">
        <f t="shared" si="12"/>
        <v/>
      </c>
      <c r="AN41" s="396" t="str">
        <f t="shared" si="12"/>
        <v/>
      </c>
      <c r="AO41" s="396" t="str">
        <f t="shared" si="13"/>
        <v/>
      </c>
      <c r="AP41" s="396" t="str">
        <f t="shared" si="14"/>
        <v/>
      </c>
      <c r="AR41" s="35" t="str">
        <f t="shared" si="0"/>
        <v>Sembunyikan</v>
      </c>
    </row>
    <row r="42" spans="2:44">
      <c r="B42" s="7">
        <v>33</v>
      </c>
      <c r="C42" s="7" t="str">
        <f>'Data Siswa'!C36&amp;""</f>
        <v/>
      </c>
      <c r="D42" s="11" t="str">
        <f>'Data Siswa'!F36&amp;""</f>
        <v/>
      </c>
      <c r="E42" s="434"/>
      <c r="F42" s="50"/>
      <c r="G42" s="50"/>
      <c r="H42" s="397" t="str">
        <f t="shared" si="1"/>
        <v/>
      </c>
      <c r="I42" s="50"/>
      <c r="J42" s="50"/>
      <c r="K42" s="397" t="str">
        <f t="shared" si="2"/>
        <v/>
      </c>
      <c r="L42" s="50"/>
      <c r="M42" s="50"/>
      <c r="N42" s="397" t="str">
        <f t="shared" si="3"/>
        <v/>
      </c>
      <c r="O42" s="50"/>
      <c r="P42" s="50"/>
      <c r="Q42" s="397" t="str">
        <f t="shared" si="4"/>
        <v/>
      </c>
      <c r="R42" s="50"/>
      <c r="S42" s="50"/>
      <c r="T42" s="397" t="str">
        <f t="shared" si="5"/>
        <v/>
      </c>
      <c r="U42" s="50"/>
      <c r="V42" s="50"/>
      <c r="W42" s="397" t="str">
        <f t="shared" si="6"/>
        <v/>
      </c>
      <c r="X42" s="50"/>
      <c r="Y42" s="50"/>
      <c r="Z42" s="397" t="str">
        <f t="shared" si="7"/>
        <v/>
      </c>
      <c r="AA42" s="50"/>
      <c r="AB42" s="50"/>
      <c r="AC42" s="397" t="str">
        <f t="shared" si="8"/>
        <v/>
      </c>
      <c r="AD42" s="50"/>
      <c r="AE42" s="50"/>
      <c r="AF42" s="397" t="str">
        <f t="shared" si="9"/>
        <v/>
      </c>
      <c r="AG42" s="49"/>
      <c r="AH42" s="50"/>
      <c r="AI42" s="397" t="str">
        <f t="shared" si="10"/>
        <v/>
      </c>
      <c r="AJ42" s="50"/>
      <c r="AK42" s="50"/>
      <c r="AL42" s="397" t="str">
        <f t="shared" si="11"/>
        <v/>
      </c>
      <c r="AM42" s="396" t="str">
        <f t="shared" si="12"/>
        <v/>
      </c>
      <c r="AN42" s="396" t="str">
        <f t="shared" si="12"/>
        <v/>
      </c>
      <c r="AO42" s="396" t="str">
        <f t="shared" si="13"/>
        <v/>
      </c>
      <c r="AP42" s="396" t="str">
        <f t="shared" si="14"/>
        <v/>
      </c>
      <c r="AR42" s="35" t="str">
        <f t="shared" ref="AR42:AR59" si="15">IF(D42="","Sembunyikan","Data")</f>
        <v>Sembunyikan</v>
      </c>
    </row>
    <row r="43" spans="2:44">
      <c r="B43" s="7">
        <v>34</v>
      </c>
      <c r="C43" s="7" t="str">
        <f>'Data Siswa'!C37&amp;""</f>
        <v/>
      </c>
      <c r="D43" s="11" t="str">
        <f>'Data Siswa'!F37&amp;""</f>
        <v/>
      </c>
      <c r="E43" s="434"/>
      <c r="F43" s="50"/>
      <c r="G43" s="50"/>
      <c r="H43" s="397" t="str">
        <f t="shared" si="1"/>
        <v/>
      </c>
      <c r="I43" s="50"/>
      <c r="J43" s="50"/>
      <c r="K43" s="397" t="str">
        <f t="shared" si="2"/>
        <v/>
      </c>
      <c r="L43" s="50"/>
      <c r="M43" s="50"/>
      <c r="N43" s="397" t="str">
        <f t="shared" si="3"/>
        <v/>
      </c>
      <c r="O43" s="50"/>
      <c r="P43" s="50"/>
      <c r="Q43" s="397" t="str">
        <f t="shared" si="4"/>
        <v/>
      </c>
      <c r="R43" s="50"/>
      <c r="S43" s="50"/>
      <c r="T43" s="397" t="str">
        <f t="shared" si="5"/>
        <v/>
      </c>
      <c r="U43" s="50"/>
      <c r="V43" s="50"/>
      <c r="W43" s="397" t="str">
        <f t="shared" si="6"/>
        <v/>
      </c>
      <c r="X43" s="50"/>
      <c r="Y43" s="50"/>
      <c r="Z43" s="397" t="str">
        <f t="shared" si="7"/>
        <v/>
      </c>
      <c r="AA43" s="50"/>
      <c r="AB43" s="50"/>
      <c r="AC43" s="397" t="str">
        <f t="shared" si="8"/>
        <v/>
      </c>
      <c r="AD43" s="50"/>
      <c r="AE43" s="50"/>
      <c r="AF43" s="397" t="str">
        <f t="shared" si="9"/>
        <v/>
      </c>
      <c r="AG43" s="49"/>
      <c r="AH43" s="50"/>
      <c r="AI43" s="397" t="str">
        <f t="shared" si="10"/>
        <v/>
      </c>
      <c r="AJ43" s="50"/>
      <c r="AK43" s="50"/>
      <c r="AL43" s="397" t="str">
        <f t="shared" si="11"/>
        <v/>
      </c>
      <c r="AM43" s="396" t="str">
        <f t="shared" si="12"/>
        <v/>
      </c>
      <c r="AN43" s="396" t="str">
        <f t="shared" si="12"/>
        <v/>
      </c>
      <c r="AO43" s="396" t="str">
        <f t="shared" si="13"/>
        <v/>
      </c>
      <c r="AP43" s="396" t="str">
        <f t="shared" si="14"/>
        <v/>
      </c>
      <c r="AR43" s="35" t="str">
        <f t="shared" si="15"/>
        <v>Sembunyikan</v>
      </c>
    </row>
    <row r="44" spans="2:44">
      <c r="B44" s="7">
        <v>35</v>
      </c>
      <c r="C44" s="7" t="str">
        <f>'Data Siswa'!C38&amp;""</f>
        <v/>
      </c>
      <c r="D44" s="11" t="str">
        <f>'Data Siswa'!F38&amp;""</f>
        <v/>
      </c>
      <c r="E44" s="434"/>
      <c r="F44" s="50"/>
      <c r="G44" s="50"/>
      <c r="H44" s="397" t="str">
        <f t="shared" si="1"/>
        <v/>
      </c>
      <c r="I44" s="50"/>
      <c r="J44" s="50"/>
      <c r="K44" s="397" t="str">
        <f t="shared" si="2"/>
        <v/>
      </c>
      <c r="L44" s="50"/>
      <c r="M44" s="50"/>
      <c r="N44" s="397" t="str">
        <f t="shared" si="3"/>
        <v/>
      </c>
      <c r="O44" s="50"/>
      <c r="P44" s="50"/>
      <c r="Q44" s="397" t="str">
        <f t="shared" si="4"/>
        <v/>
      </c>
      <c r="R44" s="50"/>
      <c r="S44" s="50"/>
      <c r="T44" s="397" t="str">
        <f t="shared" si="5"/>
        <v/>
      </c>
      <c r="U44" s="50"/>
      <c r="V44" s="50"/>
      <c r="W44" s="397" t="str">
        <f t="shared" si="6"/>
        <v/>
      </c>
      <c r="X44" s="50"/>
      <c r="Y44" s="50"/>
      <c r="Z44" s="397" t="str">
        <f t="shared" si="7"/>
        <v/>
      </c>
      <c r="AA44" s="50"/>
      <c r="AB44" s="50"/>
      <c r="AC44" s="397" t="str">
        <f t="shared" si="8"/>
        <v/>
      </c>
      <c r="AD44" s="50"/>
      <c r="AE44" s="50"/>
      <c r="AF44" s="397" t="str">
        <f t="shared" si="9"/>
        <v/>
      </c>
      <c r="AG44" s="49"/>
      <c r="AH44" s="50"/>
      <c r="AI44" s="397" t="str">
        <f t="shared" si="10"/>
        <v/>
      </c>
      <c r="AJ44" s="50"/>
      <c r="AK44" s="50"/>
      <c r="AL44" s="397" t="str">
        <f t="shared" si="11"/>
        <v/>
      </c>
      <c r="AM44" s="396" t="str">
        <f t="shared" si="12"/>
        <v/>
      </c>
      <c r="AN44" s="396" t="str">
        <f t="shared" si="12"/>
        <v/>
      </c>
      <c r="AO44" s="396" t="str">
        <f t="shared" si="13"/>
        <v/>
      </c>
      <c r="AP44" s="396" t="str">
        <f t="shared" si="14"/>
        <v/>
      </c>
      <c r="AR44" s="35" t="str">
        <f t="shared" si="15"/>
        <v>Sembunyikan</v>
      </c>
    </row>
    <row r="45" spans="2:44">
      <c r="B45" s="7">
        <v>36</v>
      </c>
      <c r="C45" s="7" t="str">
        <f>'Data Siswa'!C39&amp;""</f>
        <v/>
      </c>
      <c r="D45" s="11" t="str">
        <f>'Data Siswa'!F39&amp;""</f>
        <v/>
      </c>
      <c r="E45" s="434"/>
      <c r="F45" s="50"/>
      <c r="G45" s="50"/>
      <c r="H45" s="397" t="str">
        <f t="shared" si="1"/>
        <v/>
      </c>
      <c r="I45" s="50"/>
      <c r="J45" s="50"/>
      <c r="K45" s="397" t="str">
        <f t="shared" si="2"/>
        <v/>
      </c>
      <c r="L45" s="50"/>
      <c r="M45" s="50"/>
      <c r="N45" s="397" t="str">
        <f t="shared" si="3"/>
        <v/>
      </c>
      <c r="O45" s="50"/>
      <c r="P45" s="50"/>
      <c r="Q45" s="397" t="str">
        <f t="shared" si="4"/>
        <v/>
      </c>
      <c r="R45" s="50"/>
      <c r="S45" s="50"/>
      <c r="T45" s="397" t="str">
        <f t="shared" si="5"/>
        <v/>
      </c>
      <c r="U45" s="50"/>
      <c r="V45" s="50"/>
      <c r="W45" s="397" t="str">
        <f t="shared" si="6"/>
        <v/>
      </c>
      <c r="X45" s="50"/>
      <c r="Y45" s="50"/>
      <c r="Z45" s="397" t="str">
        <f t="shared" si="7"/>
        <v/>
      </c>
      <c r="AA45" s="50"/>
      <c r="AB45" s="50"/>
      <c r="AC45" s="397" t="str">
        <f t="shared" si="8"/>
        <v/>
      </c>
      <c r="AD45" s="50"/>
      <c r="AE45" s="50"/>
      <c r="AF45" s="397" t="str">
        <f t="shared" si="9"/>
        <v/>
      </c>
      <c r="AG45" s="49"/>
      <c r="AH45" s="50"/>
      <c r="AI45" s="397" t="str">
        <f t="shared" si="10"/>
        <v/>
      </c>
      <c r="AJ45" s="50"/>
      <c r="AK45" s="50"/>
      <c r="AL45" s="397" t="str">
        <f t="shared" si="11"/>
        <v/>
      </c>
      <c r="AM45" s="396" t="str">
        <f t="shared" si="12"/>
        <v/>
      </c>
      <c r="AN45" s="396" t="str">
        <f t="shared" si="12"/>
        <v/>
      </c>
      <c r="AO45" s="396" t="str">
        <f t="shared" si="13"/>
        <v/>
      </c>
      <c r="AP45" s="396" t="str">
        <f t="shared" si="14"/>
        <v/>
      </c>
      <c r="AR45" s="35" t="str">
        <f t="shared" si="15"/>
        <v>Sembunyikan</v>
      </c>
    </row>
    <row r="46" spans="2:44">
      <c r="B46" s="7">
        <v>37</v>
      </c>
      <c r="C46" s="7" t="str">
        <f>'Data Siswa'!C40&amp;""</f>
        <v/>
      </c>
      <c r="D46" s="11" t="str">
        <f>'Data Siswa'!F40&amp;""</f>
        <v/>
      </c>
      <c r="E46" s="434"/>
      <c r="F46" s="50"/>
      <c r="G46" s="50"/>
      <c r="H46" s="397" t="str">
        <f t="shared" si="1"/>
        <v/>
      </c>
      <c r="I46" s="50"/>
      <c r="J46" s="50"/>
      <c r="K46" s="397" t="str">
        <f t="shared" si="2"/>
        <v/>
      </c>
      <c r="L46" s="50"/>
      <c r="M46" s="50"/>
      <c r="N46" s="397" t="str">
        <f t="shared" si="3"/>
        <v/>
      </c>
      <c r="O46" s="50"/>
      <c r="P46" s="50"/>
      <c r="Q46" s="397" t="str">
        <f t="shared" si="4"/>
        <v/>
      </c>
      <c r="R46" s="50"/>
      <c r="S46" s="50"/>
      <c r="T46" s="397" t="str">
        <f t="shared" si="5"/>
        <v/>
      </c>
      <c r="U46" s="50"/>
      <c r="V46" s="50"/>
      <c r="W46" s="397" t="str">
        <f t="shared" si="6"/>
        <v/>
      </c>
      <c r="X46" s="50"/>
      <c r="Y46" s="50"/>
      <c r="Z46" s="397" t="str">
        <f t="shared" si="7"/>
        <v/>
      </c>
      <c r="AA46" s="50"/>
      <c r="AB46" s="50"/>
      <c r="AC46" s="397" t="str">
        <f t="shared" si="8"/>
        <v/>
      </c>
      <c r="AD46" s="50"/>
      <c r="AE46" s="50"/>
      <c r="AF46" s="397" t="str">
        <f t="shared" si="9"/>
        <v/>
      </c>
      <c r="AG46" s="49"/>
      <c r="AH46" s="50"/>
      <c r="AI46" s="397" t="str">
        <f t="shared" si="10"/>
        <v/>
      </c>
      <c r="AJ46" s="50"/>
      <c r="AK46" s="50"/>
      <c r="AL46" s="397" t="str">
        <f t="shared" si="11"/>
        <v/>
      </c>
      <c r="AM46" s="396" t="str">
        <f t="shared" si="12"/>
        <v/>
      </c>
      <c r="AN46" s="396" t="str">
        <f t="shared" si="12"/>
        <v/>
      </c>
      <c r="AO46" s="396" t="str">
        <f t="shared" si="13"/>
        <v/>
      </c>
      <c r="AP46" s="396" t="str">
        <f t="shared" si="14"/>
        <v/>
      </c>
      <c r="AR46" s="35" t="str">
        <f t="shared" si="15"/>
        <v>Sembunyikan</v>
      </c>
    </row>
    <row r="47" spans="2:44">
      <c r="B47" s="7">
        <v>38</v>
      </c>
      <c r="C47" s="7" t="str">
        <f>'Data Siswa'!C41&amp;""</f>
        <v/>
      </c>
      <c r="D47" s="11" t="str">
        <f>'Data Siswa'!F41&amp;""</f>
        <v/>
      </c>
      <c r="E47" s="434"/>
      <c r="F47" s="50"/>
      <c r="G47" s="50"/>
      <c r="H47" s="397" t="str">
        <f t="shared" si="1"/>
        <v/>
      </c>
      <c r="I47" s="50"/>
      <c r="J47" s="50"/>
      <c r="K47" s="397" t="str">
        <f t="shared" si="2"/>
        <v/>
      </c>
      <c r="L47" s="50"/>
      <c r="M47" s="50"/>
      <c r="N47" s="397" t="str">
        <f t="shared" si="3"/>
        <v/>
      </c>
      <c r="O47" s="50"/>
      <c r="P47" s="50"/>
      <c r="Q47" s="397" t="str">
        <f t="shared" si="4"/>
        <v/>
      </c>
      <c r="R47" s="50"/>
      <c r="S47" s="50"/>
      <c r="T47" s="397" t="str">
        <f t="shared" si="5"/>
        <v/>
      </c>
      <c r="U47" s="50"/>
      <c r="V47" s="50"/>
      <c r="W47" s="397" t="str">
        <f t="shared" si="6"/>
        <v/>
      </c>
      <c r="X47" s="50"/>
      <c r="Y47" s="50"/>
      <c r="Z47" s="397" t="str">
        <f t="shared" si="7"/>
        <v/>
      </c>
      <c r="AA47" s="50"/>
      <c r="AB47" s="50"/>
      <c r="AC47" s="397" t="str">
        <f t="shared" si="8"/>
        <v/>
      </c>
      <c r="AD47" s="50"/>
      <c r="AE47" s="50"/>
      <c r="AF47" s="397" t="str">
        <f t="shared" si="9"/>
        <v/>
      </c>
      <c r="AG47" s="49"/>
      <c r="AH47" s="50"/>
      <c r="AI47" s="397" t="str">
        <f t="shared" si="10"/>
        <v/>
      </c>
      <c r="AJ47" s="50"/>
      <c r="AK47" s="50"/>
      <c r="AL47" s="397" t="str">
        <f t="shared" si="11"/>
        <v/>
      </c>
      <c r="AM47" s="396" t="str">
        <f t="shared" si="12"/>
        <v/>
      </c>
      <c r="AN47" s="396" t="str">
        <f t="shared" si="12"/>
        <v/>
      </c>
      <c r="AO47" s="396" t="str">
        <f t="shared" si="13"/>
        <v/>
      </c>
      <c r="AP47" s="396" t="str">
        <f t="shared" si="14"/>
        <v/>
      </c>
      <c r="AR47" s="35" t="str">
        <f t="shared" si="15"/>
        <v>Sembunyikan</v>
      </c>
    </row>
    <row r="48" spans="2:44">
      <c r="B48" s="7">
        <v>39</v>
      </c>
      <c r="C48" s="7" t="str">
        <f>'Data Siswa'!C42&amp;""</f>
        <v/>
      </c>
      <c r="D48" s="11" t="str">
        <f>'Data Siswa'!F42&amp;""</f>
        <v/>
      </c>
      <c r="E48" s="434"/>
      <c r="F48" s="50"/>
      <c r="G48" s="50"/>
      <c r="H48" s="397" t="str">
        <f t="shared" si="1"/>
        <v/>
      </c>
      <c r="I48" s="50"/>
      <c r="J48" s="50"/>
      <c r="K48" s="397" t="str">
        <f t="shared" si="2"/>
        <v/>
      </c>
      <c r="L48" s="50"/>
      <c r="M48" s="50"/>
      <c r="N48" s="397" t="str">
        <f t="shared" si="3"/>
        <v/>
      </c>
      <c r="O48" s="50"/>
      <c r="P48" s="50"/>
      <c r="Q48" s="397" t="str">
        <f t="shared" si="4"/>
        <v/>
      </c>
      <c r="R48" s="50"/>
      <c r="S48" s="50"/>
      <c r="T48" s="397" t="str">
        <f t="shared" si="5"/>
        <v/>
      </c>
      <c r="U48" s="50"/>
      <c r="V48" s="50"/>
      <c r="W48" s="397" t="str">
        <f t="shared" si="6"/>
        <v/>
      </c>
      <c r="X48" s="50"/>
      <c r="Y48" s="50"/>
      <c r="Z48" s="397" t="str">
        <f t="shared" si="7"/>
        <v/>
      </c>
      <c r="AA48" s="50"/>
      <c r="AB48" s="50"/>
      <c r="AC48" s="397" t="str">
        <f t="shared" si="8"/>
        <v/>
      </c>
      <c r="AD48" s="50"/>
      <c r="AE48" s="50"/>
      <c r="AF48" s="397" t="str">
        <f t="shared" si="9"/>
        <v/>
      </c>
      <c r="AG48" s="49"/>
      <c r="AH48" s="50"/>
      <c r="AI48" s="397" t="str">
        <f t="shared" si="10"/>
        <v/>
      </c>
      <c r="AJ48" s="50"/>
      <c r="AK48" s="50"/>
      <c r="AL48" s="397" t="str">
        <f t="shared" si="11"/>
        <v/>
      </c>
      <c r="AM48" s="396" t="str">
        <f t="shared" si="12"/>
        <v/>
      </c>
      <c r="AN48" s="396" t="str">
        <f t="shared" si="12"/>
        <v/>
      </c>
      <c r="AO48" s="396" t="str">
        <f t="shared" si="13"/>
        <v/>
      </c>
      <c r="AP48" s="396" t="str">
        <f t="shared" si="14"/>
        <v/>
      </c>
      <c r="AR48" s="35" t="str">
        <f t="shared" si="15"/>
        <v>Sembunyikan</v>
      </c>
    </row>
    <row r="49" spans="2:44">
      <c r="B49" s="7">
        <v>40</v>
      </c>
      <c r="C49" s="7" t="str">
        <f>'Data Siswa'!C43&amp;""</f>
        <v/>
      </c>
      <c r="D49" s="11" t="str">
        <f>'Data Siswa'!F43&amp;""</f>
        <v/>
      </c>
      <c r="E49" s="434"/>
      <c r="F49" s="50"/>
      <c r="G49" s="50"/>
      <c r="H49" s="397" t="str">
        <f t="shared" si="1"/>
        <v/>
      </c>
      <c r="I49" s="50"/>
      <c r="J49" s="50"/>
      <c r="K49" s="397" t="str">
        <f t="shared" si="2"/>
        <v/>
      </c>
      <c r="L49" s="50"/>
      <c r="M49" s="50"/>
      <c r="N49" s="397" t="str">
        <f t="shared" si="3"/>
        <v/>
      </c>
      <c r="O49" s="50"/>
      <c r="P49" s="50"/>
      <c r="Q49" s="397" t="str">
        <f t="shared" si="4"/>
        <v/>
      </c>
      <c r="R49" s="50"/>
      <c r="S49" s="50"/>
      <c r="T49" s="397" t="str">
        <f t="shared" si="5"/>
        <v/>
      </c>
      <c r="U49" s="50"/>
      <c r="V49" s="50"/>
      <c r="W49" s="397" t="str">
        <f t="shared" si="6"/>
        <v/>
      </c>
      <c r="X49" s="50"/>
      <c r="Y49" s="50"/>
      <c r="Z49" s="397" t="str">
        <f t="shared" si="7"/>
        <v/>
      </c>
      <c r="AA49" s="50"/>
      <c r="AB49" s="50"/>
      <c r="AC49" s="397" t="str">
        <f t="shared" si="8"/>
        <v/>
      </c>
      <c r="AD49" s="50"/>
      <c r="AE49" s="50"/>
      <c r="AF49" s="397" t="str">
        <f t="shared" si="9"/>
        <v/>
      </c>
      <c r="AG49" s="49"/>
      <c r="AH49" s="50"/>
      <c r="AI49" s="397" t="str">
        <f t="shared" si="10"/>
        <v/>
      </c>
      <c r="AJ49" s="50"/>
      <c r="AK49" s="50"/>
      <c r="AL49" s="397" t="str">
        <f t="shared" si="11"/>
        <v/>
      </c>
      <c r="AM49" s="396" t="str">
        <f t="shared" si="12"/>
        <v/>
      </c>
      <c r="AN49" s="396" t="str">
        <f t="shared" si="12"/>
        <v/>
      </c>
      <c r="AO49" s="396" t="str">
        <f t="shared" si="13"/>
        <v/>
      </c>
      <c r="AP49" s="396" t="str">
        <f t="shared" si="14"/>
        <v/>
      </c>
      <c r="AR49" s="35" t="str">
        <f t="shared" si="15"/>
        <v>Sembunyikan</v>
      </c>
    </row>
    <row r="50" spans="2:44">
      <c r="B50" s="7">
        <v>41</v>
      </c>
      <c r="C50" s="7" t="str">
        <f>'Data Siswa'!C44&amp;""</f>
        <v/>
      </c>
      <c r="D50" s="11" t="str">
        <f>'Data Siswa'!F44&amp;""</f>
        <v/>
      </c>
      <c r="E50" s="434"/>
      <c r="F50" s="50"/>
      <c r="G50" s="50"/>
      <c r="H50" s="397" t="str">
        <f t="shared" si="1"/>
        <v/>
      </c>
      <c r="I50" s="50"/>
      <c r="J50" s="50"/>
      <c r="K50" s="397" t="str">
        <f t="shared" si="2"/>
        <v/>
      </c>
      <c r="L50" s="50"/>
      <c r="M50" s="50"/>
      <c r="N50" s="397" t="str">
        <f t="shared" si="3"/>
        <v/>
      </c>
      <c r="O50" s="50"/>
      <c r="P50" s="50"/>
      <c r="Q50" s="397" t="str">
        <f t="shared" si="4"/>
        <v/>
      </c>
      <c r="R50" s="50"/>
      <c r="S50" s="50"/>
      <c r="T50" s="397" t="str">
        <f t="shared" si="5"/>
        <v/>
      </c>
      <c r="U50" s="50"/>
      <c r="V50" s="50"/>
      <c r="W50" s="397" t="str">
        <f t="shared" si="6"/>
        <v/>
      </c>
      <c r="X50" s="50"/>
      <c r="Y50" s="50"/>
      <c r="Z50" s="397" t="str">
        <f t="shared" si="7"/>
        <v/>
      </c>
      <c r="AA50" s="50"/>
      <c r="AB50" s="50"/>
      <c r="AC50" s="397" t="str">
        <f t="shared" si="8"/>
        <v/>
      </c>
      <c r="AD50" s="50"/>
      <c r="AE50" s="50"/>
      <c r="AF50" s="397" t="str">
        <f t="shared" si="9"/>
        <v/>
      </c>
      <c r="AG50" s="49"/>
      <c r="AH50" s="50"/>
      <c r="AI50" s="397" t="str">
        <f t="shared" si="10"/>
        <v/>
      </c>
      <c r="AJ50" s="50"/>
      <c r="AK50" s="50"/>
      <c r="AL50" s="397" t="str">
        <f t="shared" si="11"/>
        <v/>
      </c>
      <c r="AM50" s="396" t="str">
        <f t="shared" si="12"/>
        <v/>
      </c>
      <c r="AN50" s="396" t="str">
        <f t="shared" si="12"/>
        <v/>
      </c>
      <c r="AO50" s="396" t="str">
        <f t="shared" si="13"/>
        <v/>
      </c>
      <c r="AP50" s="396" t="str">
        <f t="shared" si="14"/>
        <v/>
      </c>
      <c r="AR50" s="35" t="str">
        <f t="shared" si="15"/>
        <v>Sembunyikan</v>
      </c>
    </row>
    <row r="51" spans="2:44">
      <c r="B51" s="7">
        <v>42</v>
      </c>
      <c r="C51" s="7" t="str">
        <f>'Data Siswa'!C45&amp;""</f>
        <v/>
      </c>
      <c r="D51" s="11" t="str">
        <f>'Data Siswa'!F45&amp;""</f>
        <v/>
      </c>
      <c r="E51" s="434"/>
      <c r="F51" s="50"/>
      <c r="G51" s="50"/>
      <c r="H51" s="397" t="str">
        <f t="shared" si="1"/>
        <v/>
      </c>
      <c r="I51" s="50"/>
      <c r="J51" s="50"/>
      <c r="K51" s="397" t="str">
        <f t="shared" si="2"/>
        <v/>
      </c>
      <c r="L51" s="50"/>
      <c r="M51" s="50"/>
      <c r="N51" s="397" t="str">
        <f t="shared" si="3"/>
        <v/>
      </c>
      <c r="O51" s="50"/>
      <c r="P51" s="50"/>
      <c r="Q51" s="397" t="str">
        <f t="shared" si="4"/>
        <v/>
      </c>
      <c r="R51" s="50"/>
      <c r="S51" s="50"/>
      <c r="T51" s="397" t="str">
        <f t="shared" si="5"/>
        <v/>
      </c>
      <c r="U51" s="50"/>
      <c r="V51" s="50"/>
      <c r="W51" s="397" t="str">
        <f t="shared" si="6"/>
        <v/>
      </c>
      <c r="X51" s="50"/>
      <c r="Y51" s="50"/>
      <c r="Z51" s="397" t="str">
        <f t="shared" si="7"/>
        <v/>
      </c>
      <c r="AA51" s="50"/>
      <c r="AB51" s="50"/>
      <c r="AC51" s="397" t="str">
        <f t="shared" si="8"/>
        <v/>
      </c>
      <c r="AD51" s="50"/>
      <c r="AE51" s="50"/>
      <c r="AF51" s="397" t="str">
        <f t="shared" si="9"/>
        <v/>
      </c>
      <c r="AG51" s="49"/>
      <c r="AH51" s="50"/>
      <c r="AI51" s="397" t="str">
        <f t="shared" si="10"/>
        <v/>
      </c>
      <c r="AJ51" s="50"/>
      <c r="AK51" s="50"/>
      <c r="AL51" s="397" t="str">
        <f t="shared" si="11"/>
        <v/>
      </c>
      <c r="AM51" s="396" t="str">
        <f t="shared" si="12"/>
        <v/>
      </c>
      <c r="AN51" s="396" t="str">
        <f t="shared" si="12"/>
        <v/>
      </c>
      <c r="AO51" s="396" t="str">
        <f t="shared" si="13"/>
        <v/>
      </c>
      <c r="AP51" s="396" t="str">
        <f t="shared" si="14"/>
        <v/>
      </c>
      <c r="AR51" s="35" t="str">
        <f t="shared" si="15"/>
        <v>Sembunyikan</v>
      </c>
    </row>
    <row r="52" spans="2:44">
      <c r="B52" s="7">
        <v>43</v>
      </c>
      <c r="C52" s="7" t="str">
        <f>'Data Siswa'!C46&amp;""</f>
        <v/>
      </c>
      <c r="D52" s="11" t="str">
        <f>'Data Siswa'!F46&amp;""</f>
        <v/>
      </c>
      <c r="E52" s="434"/>
      <c r="F52" s="50"/>
      <c r="G52" s="50"/>
      <c r="H52" s="397" t="str">
        <f t="shared" si="1"/>
        <v/>
      </c>
      <c r="I52" s="50"/>
      <c r="J52" s="50"/>
      <c r="K52" s="397" t="str">
        <f t="shared" si="2"/>
        <v/>
      </c>
      <c r="L52" s="50"/>
      <c r="M52" s="50"/>
      <c r="N52" s="397" t="str">
        <f t="shared" si="3"/>
        <v/>
      </c>
      <c r="O52" s="50"/>
      <c r="P52" s="50"/>
      <c r="Q52" s="397" t="str">
        <f t="shared" si="4"/>
        <v/>
      </c>
      <c r="R52" s="50"/>
      <c r="S52" s="50"/>
      <c r="T52" s="397" t="str">
        <f t="shared" si="5"/>
        <v/>
      </c>
      <c r="U52" s="50"/>
      <c r="V52" s="50"/>
      <c r="W52" s="397" t="str">
        <f t="shared" si="6"/>
        <v/>
      </c>
      <c r="X52" s="50"/>
      <c r="Y52" s="50"/>
      <c r="Z52" s="397" t="str">
        <f t="shared" si="7"/>
        <v/>
      </c>
      <c r="AA52" s="50"/>
      <c r="AB52" s="50"/>
      <c r="AC52" s="397" t="str">
        <f t="shared" si="8"/>
        <v/>
      </c>
      <c r="AD52" s="50"/>
      <c r="AE52" s="50"/>
      <c r="AF52" s="397" t="str">
        <f t="shared" si="9"/>
        <v/>
      </c>
      <c r="AG52" s="49"/>
      <c r="AH52" s="50"/>
      <c r="AI52" s="397" t="str">
        <f t="shared" si="10"/>
        <v/>
      </c>
      <c r="AJ52" s="50"/>
      <c r="AK52" s="50"/>
      <c r="AL52" s="397" t="str">
        <f t="shared" si="11"/>
        <v/>
      </c>
      <c r="AM52" s="396" t="str">
        <f t="shared" si="12"/>
        <v/>
      </c>
      <c r="AN52" s="396" t="str">
        <f t="shared" si="12"/>
        <v/>
      </c>
      <c r="AO52" s="396" t="str">
        <f t="shared" si="13"/>
        <v/>
      </c>
      <c r="AP52" s="396" t="str">
        <f t="shared" si="14"/>
        <v/>
      </c>
      <c r="AR52" s="35" t="str">
        <f t="shared" si="15"/>
        <v>Sembunyikan</v>
      </c>
    </row>
    <row r="53" spans="2:44">
      <c r="B53" s="7">
        <v>44</v>
      </c>
      <c r="C53" s="7" t="str">
        <f>'Data Siswa'!C47&amp;""</f>
        <v/>
      </c>
      <c r="D53" s="11" t="str">
        <f>'Data Siswa'!F47&amp;""</f>
        <v/>
      </c>
      <c r="E53" s="434"/>
      <c r="F53" s="50"/>
      <c r="G53" s="50"/>
      <c r="H53" s="397" t="str">
        <f t="shared" si="1"/>
        <v/>
      </c>
      <c r="I53" s="50"/>
      <c r="J53" s="50"/>
      <c r="K53" s="397" t="str">
        <f t="shared" si="2"/>
        <v/>
      </c>
      <c r="L53" s="50"/>
      <c r="M53" s="50"/>
      <c r="N53" s="397" t="str">
        <f t="shared" si="3"/>
        <v/>
      </c>
      <c r="O53" s="50"/>
      <c r="P53" s="50"/>
      <c r="Q53" s="397" t="str">
        <f t="shared" si="4"/>
        <v/>
      </c>
      <c r="R53" s="50"/>
      <c r="S53" s="50"/>
      <c r="T53" s="397" t="str">
        <f t="shared" si="5"/>
        <v/>
      </c>
      <c r="U53" s="50"/>
      <c r="V53" s="50"/>
      <c r="W53" s="397" t="str">
        <f t="shared" si="6"/>
        <v/>
      </c>
      <c r="X53" s="50"/>
      <c r="Y53" s="50"/>
      <c r="Z53" s="397" t="str">
        <f t="shared" si="7"/>
        <v/>
      </c>
      <c r="AA53" s="50"/>
      <c r="AB53" s="50"/>
      <c r="AC53" s="397" t="str">
        <f t="shared" si="8"/>
        <v/>
      </c>
      <c r="AD53" s="50"/>
      <c r="AE53" s="50"/>
      <c r="AF53" s="397" t="str">
        <f t="shared" si="9"/>
        <v/>
      </c>
      <c r="AG53" s="49"/>
      <c r="AH53" s="50"/>
      <c r="AI53" s="397" t="str">
        <f t="shared" si="10"/>
        <v/>
      </c>
      <c r="AJ53" s="50"/>
      <c r="AK53" s="50"/>
      <c r="AL53" s="397" t="str">
        <f t="shared" si="11"/>
        <v/>
      </c>
      <c r="AM53" s="396" t="str">
        <f t="shared" si="12"/>
        <v/>
      </c>
      <c r="AN53" s="396" t="str">
        <f t="shared" si="12"/>
        <v/>
      </c>
      <c r="AO53" s="396" t="str">
        <f t="shared" si="13"/>
        <v/>
      </c>
      <c r="AP53" s="396" t="str">
        <f t="shared" si="14"/>
        <v/>
      </c>
      <c r="AR53" s="35" t="str">
        <f t="shared" si="15"/>
        <v>Sembunyikan</v>
      </c>
    </row>
    <row r="54" spans="2:44">
      <c r="B54" s="7">
        <v>45</v>
      </c>
      <c r="C54" s="7" t="str">
        <f>'Data Siswa'!C48&amp;""</f>
        <v/>
      </c>
      <c r="D54" s="11" t="str">
        <f>'Data Siswa'!F48&amp;""</f>
        <v/>
      </c>
      <c r="E54" s="434"/>
      <c r="F54" s="50"/>
      <c r="G54" s="50"/>
      <c r="H54" s="397" t="str">
        <f t="shared" si="1"/>
        <v/>
      </c>
      <c r="I54" s="50"/>
      <c r="J54" s="50"/>
      <c r="K54" s="397" t="str">
        <f t="shared" si="2"/>
        <v/>
      </c>
      <c r="L54" s="50"/>
      <c r="M54" s="50"/>
      <c r="N54" s="397" t="str">
        <f t="shared" si="3"/>
        <v/>
      </c>
      <c r="O54" s="50"/>
      <c r="P54" s="50"/>
      <c r="Q54" s="397" t="str">
        <f t="shared" si="4"/>
        <v/>
      </c>
      <c r="R54" s="50"/>
      <c r="S54" s="50"/>
      <c r="T54" s="397" t="str">
        <f t="shared" si="5"/>
        <v/>
      </c>
      <c r="U54" s="50"/>
      <c r="V54" s="50"/>
      <c r="W54" s="397" t="str">
        <f t="shared" si="6"/>
        <v/>
      </c>
      <c r="X54" s="50"/>
      <c r="Y54" s="50"/>
      <c r="Z54" s="397" t="str">
        <f t="shared" si="7"/>
        <v/>
      </c>
      <c r="AA54" s="50"/>
      <c r="AB54" s="50"/>
      <c r="AC54" s="397" t="str">
        <f t="shared" si="8"/>
        <v/>
      </c>
      <c r="AD54" s="50"/>
      <c r="AE54" s="50"/>
      <c r="AF54" s="397" t="str">
        <f t="shared" si="9"/>
        <v/>
      </c>
      <c r="AG54" s="49"/>
      <c r="AH54" s="50"/>
      <c r="AI54" s="397" t="str">
        <f t="shared" si="10"/>
        <v/>
      </c>
      <c r="AJ54" s="50"/>
      <c r="AK54" s="50"/>
      <c r="AL54" s="397" t="str">
        <f t="shared" si="11"/>
        <v/>
      </c>
      <c r="AM54" s="396" t="str">
        <f t="shared" si="12"/>
        <v/>
      </c>
      <c r="AN54" s="396" t="str">
        <f t="shared" si="12"/>
        <v/>
      </c>
      <c r="AO54" s="396" t="str">
        <f t="shared" si="13"/>
        <v/>
      </c>
      <c r="AP54" s="396" t="str">
        <f t="shared" si="14"/>
        <v/>
      </c>
      <c r="AR54" s="35" t="str">
        <f t="shared" si="15"/>
        <v>Sembunyikan</v>
      </c>
    </row>
    <row r="55" spans="2:44">
      <c r="B55" s="7">
        <v>46</v>
      </c>
      <c r="C55" s="7" t="str">
        <f>'Data Siswa'!C49&amp;""</f>
        <v/>
      </c>
      <c r="D55" s="11" t="str">
        <f>'Data Siswa'!F49&amp;""</f>
        <v/>
      </c>
      <c r="E55" s="434"/>
      <c r="F55" s="50"/>
      <c r="G55" s="50"/>
      <c r="H55" s="397" t="str">
        <f t="shared" si="1"/>
        <v/>
      </c>
      <c r="I55" s="50"/>
      <c r="J55" s="50"/>
      <c r="K55" s="397" t="str">
        <f t="shared" si="2"/>
        <v/>
      </c>
      <c r="L55" s="50"/>
      <c r="M55" s="50"/>
      <c r="N55" s="397" t="str">
        <f t="shared" si="3"/>
        <v/>
      </c>
      <c r="O55" s="50"/>
      <c r="P55" s="50"/>
      <c r="Q55" s="397" t="str">
        <f t="shared" si="4"/>
        <v/>
      </c>
      <c r="R55" s="50"/>
      <c r="S55" s="50"/>
      <c r="T55" s="397" t="str">
        <f t="shared" si="5"/>
        <v/>
      </c>
      <c r="U55" s="50"/>
      <c r="V55" s="50"/>
      <c r="W55" s="397" t="str">
        <f t="shared" si="6"/>
        <v/>
      </c>
      <c r="X55" s="50"/>
      <c r="Y55" s="50"/>
      <c r="Z55" s="397" t="str">
        <f t="shared" si="7"/>
        <v/>
      </c>
      <c r="AA55" s="50"/>
      <c r="AB55" s="50"/>
      <c r="AC55" s="397" t="str">
        <f t="shared" si="8"/>
        <v/>
      </c>
      <c r="AD55" s="50"/>
      <c r="AE55" s="50"/>
      <c r="AF55" s="397" t="str">
        <f t="shared" si="9"/>
        <v/>
      </c>
      <c r="AG55" s="49"/>
      <c r="AH55" s="50"/>
      <c r="AI55" s="397" t="str">
        <f t="shared" si="10"/>
        <v/>
      </c>
      <c r="AJ55" s="50"/>
      <c r="AK55" s="50"/>
      <c r="AL55" s="397" t="str">
        <f t="shared" si="11"/>
        <v/>
      </c>
      <c r="AM55" s="396" t="str">
        <f t="shared" si="12"/>
        <v/>
      </c>
      <c r="AN55" s="396" t="str">
        <f t="shared" si="12"/>
        <v/>
      </c>
      <c r="AO55" s="396" t="str">
        <f t="shared" si="13"/>
        <v/>
      </c>
      <c r="AP55" s="396" t="str">
        <f t="shared" si="14"/>
        <v/>
      </c>
      <c r="AR55" s="35" t="str">
        <f t="shared" si="15"/>
        <v>Sembunyikan</v>
      </c>
    </row>
    <row r="56" spans="2:44">
      <c r="B56" s="7">
        <v>47</v>
      </c>
      <c r="C56" s="7" t="str">
        <f>'Data Siswa'!C50&amp;""</f>
        <v/>
      </c>
      <c r="D56" s="11" t="str">
        <f>'Data Siswa'!F50&amp;""</f>
        <v/>
      </c>
      <c r="E56" s="434"/>
      <c r="F56" s="50"/>
      <c r="G56" s="50"/>
      <c r="H56" s="397" t="str">
        <f t="shared" si="1"/>
        <v/>
      </c>
      <c r="I56" s="50"/>
      <c r="J56" s="50"/>
      <c r="K56" s="397" t="str">
        <f t="shared" si="2"/>
        <v/>
      </c>
      <c r="L56" s="50"/>
      <c r="M56" s="50"/>
      <c r="N56" s="397" t="str">
        <f t="shared" si="3"/>
        <v/>
      </c>
      <c r="O56" s="50"/>
      <c r="P56" s="50"/>
      <c r="Q56" s="397" t="str">
        <f t="shared" si="4"/>
        <v/>
      </c>
      <c r="R56" s="50"/>
      <c r="S56" s="50"/>
      <c r="T56" s="397" t="str">
        <f t="shared" si="5"/>
        <v/>
      </c>
      <c r="U56" s="50"/>
      <c r="V56" s="50"/>
      <c r="W56" s="397" t="str">
        <f t="shared" si="6"/>
        <v/>
      </c>
      <c r="X56" s="50"/>
      <c r="Y56" s="50"/>
      <c r="Z56" s="397" t="str">
        <f t="shared" si="7"/>
        <v/>
      </c>
      <c r="AA56" s="50"/>
      <c r="AB56" s="50"/>
      <c r="AC56" s="397" t="str">
        <f t="shared" si="8"/>
        <v/>
      </c>
      <c r="AD56" s="50"/>
      <c r="AE56" s="50"/>
      <c r="AF56" s="397" t="str">
        <f t="shared" si="9"/>
        <v/>
      </c>
      <c r="AG56" s="49"/>
      <c r="AH56" s="50"/>
      <c r="AI56" s="397" t="str">
        <f t="shared" si="10"/>
        <v/>
      </c>
      <c r="AJ56" s="50"/>
      <c r="AK56" s="50"/>
      <c r="AL56" s="397" t="str">
        <f t="shared" si="11"/>
        <v/>
      </c>
      <c r="AM56" s="396" t="str">
        <f t="shared" si="12"/>
        <v/>
      </c>
      <c r="AN56" s="396" t="str">
        <f t="shared" si="12"/>
        <v/>
      </c>
      <c r="AO56" s="396" t="str">
        <f t="shared" si="13"/>
        <v/>
      </c>
      <c r="AP56" s="396" t="str">
        <f t="shared" si="14"/>
        <v/>
      </c>
      <c r="AR56" s="35" t="str">
        <f t="shared" si="15"/>
        <v>Sembunyikan</v>
      </c>
    </row>
    <row r="57" spans="2:44">
      <c r="B57" s="7">
        <v>48</v>
      </c>
      <c r="C57" s="7" t="str">
        <f>'Data Siswa'!C51&amp;""</f>
        <v/>
      </c>
      <c r="D57" s="11" t="str">
        <f>'Data Siswa'!F51&amp;""</f>
        <v/>
      </c>
      <c r="E57" s="434"/>
      <c r="F57" s="50"/>
      <c r="G57" s="50"/>
      <c r="H57" s="397" t="str">
        <f t="shared" si="1"/>
        <v/>
      </c>
      <c r="I57" s="50"/>
      <c r="J57" s="50"/>
      <c r="K57" s="397" t="str">
        <f t="shared" si="2"/>
        <v/>
      </c>
      <c r="L57" s="50"/>
      <c r="M57" s="50"/>
      <c r="N57" s="397" t="str">
        <f t="shared" si="3"/>
        <v/>
      </c>
      <c r="O57" s="50"/>
      <c r="P57" s="50"/>
      <c r="Q57" s="397" t="str">
        <f t="shared" si="4"/>
        <v/>
      </c>
      <c r="R57" s="50"/>
      <c r="S57" s="50"/>
      <c r="T57" s="397" t="str">
        <f t="shared" si="5"/>
        <v/>
      </c>
      <c r="U57" s="50"/>
      <c r="V57" s="50"/>
      <c r="W57" s="397" t="str">
        <f t="shared" si="6"/>
        <v/>
      </c>
      <c r="X57" s="50"/>
      <c r="Y57" s="50"/>
      <c r="Z57" s="397" t="str">
        <f t="shared" si="7"/>
        <v/>
      </c>
      <c r="AA57" s="50"/>
      <c r="AB57" s="50"/>
      <c r="AC57" s="397" t="str">
        <f t="shared" si="8"/>
        <v/>
      </c>
      <c r="AD57" s="50"/>
      <c r="AE57" s="50"/>
      <c r="AF57" s="397" t="str">
        <f t="shared" si="9"/>
        <v/>
      </c>
      <c r="AG57" s="49"/>
      <c r="AH57" s="50"/>
      <c r="AI57" s="397" t="str">
        <f t="shared" si="10"/>
        <v/>
      </c>
      <c r="AJ57" s="50"/>
      <c r="AK57" s="50"/>
      <c r="AL57" s="397" t="str">
        <f t="shared" si="11"/>
        <v/>
      </c>
      <c r="AM57" s="396" t="str">
        <f t="shared" si="12"/>
        <v/>
      </c>
      <c r="AN57" s="396" t="str">
        <f t="shared" si="12"/>
        <v/>
      </c>
      <c r="AO57" s="396" t="str">
        <f t="shared" si="13"/>
        <v/>
      </c>
      <c r="AP57" s="396" t="str">
        <f t="shared" si="14"/>
        <v/>
      </c>
      <c r="AR57" s="35" t="str">
        <f t="shared" si="15"/>
        <v>Sembunyikan</v>
      </c>
    </row>
    <row r="58" spans="2:44">
      <c r="B58" s="7">
        <v>49</v>
      </c>
      <c r="C58" s="7" t="str">
        <f>'Data Siswa'!C52&amp;""</f>
        <v/>
      </c>
      <c r="D58" s="11" t="str">
        <f>'Data Siswa'!F52&amp;""</f>
        <v/>
      </c>
      <c r="E58" s="434"/>
      <c r="F58" s="50"/>
      <c r="G58" s="50"/>
      <c r="H58" s="397" t="str">
        <f t="shared" si="1"/>
        <v/>
      </c>
      <c r="I58" s="50"/>
      <c r="J58" s="50"/>
      <c r="K58" s="397" t="str">
        <f t="shared" si="2"/>
        <v/>
      </c>
      <c r="L58" s="50"/>
      <c r="M58" s="50"/>
      <c r="N58" s="397" t="str">
        <f t="shared" si="3"/>
        <v/>
      </c>
      <c r="O58" s="50"/>
      <c r="P58" s="50"/>
      <c r="Q58" s="397" t="str">
        <f t="shared" si="4"/>
        <v/>
      </c>
      <c r="R58" s="50"/>
      <c r="S58" s="50"/>
      <c r="T58" s="397" t="str">
        <f t="shared" si="5"/>
        <v/>
      </c>
      <c r="U58" s="50"/>
      <c r="V58" s="50"/>
      <c r="W58" s="397" t="str">
        <f t="shared" si="6"/>
        <v/>
      </c>
      <c r="X58" s="50"/>
      <c r="Y58" s="50"/>
      <c r="Z58" s="397" t="str">
        <f t="shared" si="7"/>
        <v/>
      </c>
      <c r="AA58" s="50"/>
      <c r="AB58" s="50"/>
      <c r="AC58" s="397" t="str">
        <f t="shared" si="8"/>
        <v/>
      </c>
      <c r="AD58" s="50"/>
      <c r="AE58" s="50"/>
      <c r="AF58" s="397" t="str">
        <f t="shared" si="9"/>
        <v/>
      </c>
      <c r="AG58" s="49"/>
      <c r="AH58" s="50"/>
      <c r="AI58" s="397" t="str">
        <f t="shared" si="10"/>
        <v/>
      </c>
      <c r="AJ58" s="50"/>
      <c r="AK58" s="50"/>
      <c r="AL58" s="397" t="str">
        <f t="shared" si="11"/>
        <v/>
      </c>
      <c r="AM58" s="396" t="str">
        <f t="shared" si="12"/>
        <v/>
      </c>
      <c r="AN58" s="396" t="str">
        <f t="shared" si="12"/>
        <v/>
      </c>
      <c r="AO58" s="396" t="str">
        <f t="shared" si="13"/>
        <v/>
      </c>
      <c r="AP58" s="396" t="str">
        <f t="shared" si="14"/>
        <v/>
      </c>
      <c r="AR58" s="35" t="str">
        <f t="shared" si="15"/>
        <v>Sembunyikan</v>
      </c>
    </row>
    <row r="59" spans="2:44">
      <c r="B59" s="7">
        <v>50</v>
      </c>
      <c r="C59" s="7" t="str">
        <f>'Data Siswa'!C53&amp;""</f>
        <v/>
      </c>
      <c r="D59" s="11" t="str">
        <f>'Data Siswa'!F53&amp;""</f>
        <v/>
      </c>
      <c r="E59" s="435"/>
      <c r="F59" s="50"/>
      <c r="G59" s="50"/>
      <c r="H59" s="397" t="str">
        <f t="shared" si="1"/>
        <v/>
      </c>
      <c r="I59" s="50"/>
      <c r="J59" s="50"/>
      <c r="K59" s="397" t="str">
        <f t="shared" si="2"/>
        <v/>
      </c>
      <c r="L59" s="50"/>
      <c r="M59" s="50"/>
      <c r="N59" s="397" t="str">
        <f t="shared" si="3"/>
        <v/>
      </c>
      <c r="O59" s="50"/>
      <c r="P59" s="50"/>
      <c r="Q59" s="397" t="str">
        <f t="shared" si="4"/>
        <v/>
      </c>
      <c r="R59" s="50"/>
      <c r="S59" s="50"/>
      <c r="T59" s="397" t="str">
        <f t="shared" si="5"/>
        <v/>
      </c>
      <c r="U59" s="50"/>
      <c r="V59" s="50"/>
      <c r="W59" s="397" t="str">
        <f t="shared" si="6"/>
        <v/>
      </c>
      <c r="X59" s="50"/>
      <c r="Y59" s="50"/>
      <c r="Z59" s="397" t="str">
        <f t="shared" si="7"/>
        <v/>
      </c>
      <c r="AA59" s="50"/>
      <c r="AB59" s="50"/>
      <c r="AC59" s="397" t="str">
        <f t="shared" si="8"/>
        <v/>
      </c>
      <c r="AD59" s="50"/>
      <c r="AE59" s="50"/>
      <c r="AF59" s="397" t="str">
        <f t="shared" si="9"/>
        <v/>
      </c>
      <c r="AG59" s="49"/>
      <c r="AH59" s="50"/>
      <c r="AI59" s="397" t="str">
        <f t="shared" si="10"/>
        <v/>
      </c>
      <c r="AJ59" s="50"/>
      <c r="AK59" s="50"/>
      <c r="AL59" s="397" t="str">
        <f t="shared" si="11"/>
        <v/>
      </c>
      <c r="AM59" s="396" t="str">
        <f t="shared" si="12"/>
        <v/>
      </c>
      <c r="AN59" s="396" t="str">
        <f t="shared" si="12"/>
        <v/>
      </c>
      <c r="AO59" s="396" t="str">
        <f t="shared" si="13"/>
        <v/>
      </c>
      <c r="AP59" s="396" t="str">
        <f t="shared" si="14"/>
        <v/>
      </c>
      <c r="AR59" s="35" t="str">
        <f t="shared" si="15"/>
        <v>Sembunyikan</v>
      </c>
    </row>
    <row r="61" spans="2:44">
      <c r="AD61" s="1" t="str">
        <f>Kabupaten&amp;", "&amp;TEXT(Tanggal,"DD MMMM YYYY")</f>
        <v>Wonogiri, 15 Juni 2022</v>
      </c>
    </row>
    <row r="62" spans="2:44">
      <c r="AD62" s="1" t="str">
        <f>"Kepala"&amp;" "&amp;Nama_Sekolah</f>
        <v>Kepala Sekolah Dasar Negeri 1 Giriharjo</v>
      </c>
    </row>
    <row r="63" spans="2:44">
      <c r="B63" s="213" t="s">
        <v>177</v>
      </c>
    </row>
    <row r="64" spans="2:44">
      <c r="B64" s="21" t="s">
        <v>178</v>
      </c>
    </row>
    <row r="66" spans="2:31">
      <c r="AD66" s="37">
        <f>Kepsek</f>
        <v>0</v>
      </c>
      <c r="AE66" s="37"/>
    </row>
    <row r="67" spans="2:31">
      <c r="AD67" s="36">
        <f>NIP_Kepsek</f>
        <v>0</v>
      </c>
      <c r="AE67" s="36"/>
    </row>
    <row r="71" spans="2:31">
      <c r="B71" s="192" t="s">
        <v>134</v>
      </c>
    </row>
  </sheetData>
  <sheetProtection password="CC5B" sheet="1" objects="1" scenarios="1" formatCells="0" formatColumns="0" autoFilter="0"/>
  <autoFilter ref="AR8:AR59"/>
  <mergeCells count="30">
    <mergeCell ref="E10:E59"/>
    <mergeCell ref="AP7:AP9"/>
    <mergeCell ref="F8:G8"/>
    <mergeCell ref="I8:J8"/>
    <mergeCell ref="L8:M8"/>
    <mergeCell ref="O8:P8"/>
    <mergeCell ref="R8:S8"/>
    <mergeCell ref="U8:V8"/>
    <mergeCell ref="X8:Y8"/>
    <mergeCell ref="AA8:AB8"/>
    <mergeCell ref="AD8:AE8"/>
    <mergeCell ref="Z7:Z9"/>
    <mergeCell ref="AC7:AC9"/>
    <mergeCell ref="AF7:AF9"/>
    <mergeCell ref="AI7:AI9"/>
    <mergeCell ref="AL7:AL9"/>
    <mergeCell ref="AO7:AO9"/>
    <mergeCell ref="AG8:AH8"/>
    <mergeCell ref="AJ8:AK8"/>
    <mergeCell ref="B1:AP1"/>
    <mergeCell ref="B7:B9"/>
    <mergeCell ref="C7:C9"/>
    <mergeCell ref="D7:D9"/>
    <mergeCell ref="H7:H9"/>
    <mergeCell ref="K7:K9"/>
    <mergeCell ref="N7:N9"/>
    <mergeCell ref="Q7:Q9"/>
    <mergeCell ref="T7:T9"/>
    <mergeCell ref="W7:W9"/>
    <mergeCell ref="AM7:AN8"/>
  </mergeCells>
  <conditionalFormatting sqref="F10:F59">
    <cfRule type="cellIs" dxfId="640" priority="130" operator="lessThan">
      <formula>$F$7</formula>
    </cfRule>
  </conditionalFormatting>
  <conditionalFormatting sqref="G10:G59">
    <cfRule type="cellIs" dxfId="639" priority="129" operator="lessThan">
      <formula>$G$7</formula>
    </cfRule>
  </conditionalFormatting>
  <conditionalFormatting sqref="I10:I59">
    <cfRule type="cellIs" dxfId="638" priority="128" operator="lessThan">
      <formula>$I$7</formula>
    </cfRule>
  </conditionalFormatting>
  <conditionalFormatting sqref="J10:J59">
    <cfRule type="cellIs" dxfId="637" priority="127" operator="lessThan">
      <formula>$J$7</formula>
    </cfRule>
  </conditionalFormatting>
  <conditionalFormatting sqref="L10:L59">
    <cfRule type="cellIs" dxfId="636" priority="126" operator="lessThan">
      <formula>$L$7</formula>
    </cfRule>
  </conditionalFormatting>
  <conditionalFormatting sqref="M10:M59">
    <cfRule type="cellIs" dxfId="635" priority="125" operator="lessThan">
      <formula>$M$7</formula>
    </cfRule>
  </conditionalFormatting>
  <conditionalFormatting sqref="O10:O59">
    <cfRule type="cellIs" dxfId="634" priority="124" operator="lessThan">
      <formula>$O$7</formula>
    </cfRule>
  </conditionalFormatting>
  <conditionalFormatting sqref="P10:P59">
    <cfRule type="cellIs" dxfId="633" priority="123" operator="lessThan">
      <formula>$P$7</formula>
    </cfRule>
  </conditionalFormatting>
  <conditionalFormatting sqref="R10:R59">
    <cfRule type="cellIs" dxfId="632" priority="122" operator="lessThan">
      <formula>$R$7</formula>
    </cfRule>
  </conditionalFormatting>
  <conditionalFormatting sqref="S10:S59">
    <cfRule type="cellIs" dxfId="631" priority="121" operator="lessThan">
      <formula>$S$7</formula>
    </cfRule>
  </conditionalFormatting>
  <conditionalFormatting sqref="U10:U59">
    <cfRule type="cellIs" dxfId="630" priority="120" operator="lessThan">
      <formula>$U$7</formula>
    </cfRule>
  </conditionalFormatting>
  <conditionalFormatting sqref="V10:V59">
    <cfRule type="cellIs" dxfId="629" priority="119" operator="lessThan">
      <formula>$V$7</formula>
    </cfRule>
  </conditionalFormatting>
  <conditionalFormatting sqref="X10:X59">
    <cfRule type="cellIs" dxfId="628" priority="118" operator="lessThan">
      <formula>$X$7</formula>
    </cfRule>
  </conditionalFormatting>
  <conditionalFormatting sqref="Y10:Y59">
    <cfRule type="cellIs" dxfId="627" priority="117" operator="lessThan">
      <formula>$Y$7</formula>
    </cfRule>
  </conditionalFormatting>
  <conditionalFormatting sqref="AA10:AA59">
    <cfRule type="cellIs" dxfId="626" priority="116" operator="lessThan">
      <formula>$AA$7</formula>
    </cfRule>
  </conditionalFormatting>
  <conditionalFormatting sqref="AB10:AB59">
    <cfRule type="cellIs" dxfId="625" priority="115" operator="lessThan">
      <formula>$AB$7</formula>
    </cfRule>
  </conditionalFormatting>
  <conditionalFormatting sqref="AD10:AD59">
    <cfRule type="cellIs" dxfId="624" priority="114" operator="lessThan">
      <formula>$AD$7</formula>
    </cfRule>
  </conditionalFormatting>
  <conditionalFormatting sqref="AE10:AE59">
    <cfRule type="cellIs" dxfId="623" priority="113" operator="lessThan">
      <formula>$AE$7</formula>
    </cfRule>
  </conditionalFormatting>
  <conditionalFormatting sqref="AG10:AG59">
    <cfRule type="cellIs" dxfId="622" priority="112" operator="lessThan">
      <formula>$AG$7</formula>
    </cfRule>
  </conditionalFormatting>
  <conditionalFormatting sqref="AH10:AH59">
    <cfRule type="cellIs" dxfId="621" priority="111" operator="lessThan">
      <formula>$AH$7</formula>
    </cfRule>
  </conditionalFormatting>
  <conditionalFormatting sqref="AJ10:AJ59">
    <cfRule type="cellIs" dxfId="620" priority="110" operator="lessThan">
      <formula>$AJ$7</formula>
    </cfRule>
  </conditionalFormatting>
  <conditionalFormatting sqref="AK10:AK59">
    <cfRule type="cellIs" dxfId="619" priority="109" operator="lessThan">
      <formula>$AK$7</formula>
    </cfRule>
  </conditionalFormatting>
  <conditionalFormatting sqref="F10:F59">
    <cfRule type="cellIs" dxfId="618" priority="108" operator="lessThan">
      <formula>$F$7</formula>
    </cfRule>
  </conditionalFormatting>
  <conditionalFormatting sqref="G10:G59">
    <cfRule type="cellIs" dxfId="617" priority="107" operator="lessThan">
      <formula>$G$7</formula>
    </cfRule>
  </conditionalFormatting>
  <conditionalFormatting sqref="I10:I59">
    <cfRule type="cellIs" dxfId="616" priority="106" operator="lessThan">
      <formula>$I$7</formula>
    </cfRule>
  </conditionalFormatting>
  <conditionalFormatting sqref="J10:J59">
    <cfRule type="cellIs" dxfId="615" priority="105" operator="lessThan">
      <formula>$J$7</formula>
    </cfRule>
  </conditionalFormatting>
  <conditionalFormatting sqref="L10:L59">
    <cfRule type="cellIs" dxfId="614" priority="104" operator="lessThan">
      <formula>$L$7</formula>
    </cfRule>
  </conditionalFormatting>
  <conditionalFormatting sqref="M10:M59">
    <cfRule type="cellIs" dxfId="613" priority="103" operator="lessThan">
      <formula>$M$7</formula>
    </cfRule>
  </conditionalFormatting>
  <conditionalFormatting sqref="O10:O59">
    <cfRule type="cellIs" dxfId="612" priority="102" operator="lessThan">
      <formula>$O$7</formula>
    </cfRule>
  </conditionalFormatting>
  <conditionalFormatting sqref="P10:P59">
    <cfRule type="cellIs" dxfId="611" priority="101" operator="lessThan">
      <formula>$P$7</formula>
    </cfRule>
  </conditionalFormatting>
  <conditionalFormatting sqref="R10:R59">
    <cfRule type="cellIs" dxfId="610" priority="100" operator="lessThan">
      <formula>$R$7</formula>
    </cfRule>
  </conditionalFormatting>
  <conditionalFormatting sqref="S10:S59">
    <cfRule type="cellIs" dxfId="609" priority="99" operator="lessThan">
      <formula>$S$7</formula>
    </cfRule>
  </conditionalFormatting>
  <conditionalFormatting sqref="U10:U59">
    <cfRule type="cellIs" dxfId="608" priority="98" operator="lessThan">
      <formula>$U$7</formula>
    </cfRule>
  </conditionalFormatting>
  <conditionalFormatting sqref="V10:V59">
    <cfRule type="cellIs" dxfId="607" priority="97" operator="lessThan">
      <formula>$V$7</formula>
    </cfRule>
  </conditionalFormatting>
  <conditionalFormatting sqref="X10:X59">
    <cfRule type="cellIs" dxfId="606" priority="96" operator="lessThan">
      <formula>$X$7</formula>
    </cfRule>
  </conditionalFormatting>
  <conditionalFormatting sqref="Y10:Y59">
    <cfRule type="cellIs" dxfId="605" priority="95" operator="lessThan">
      <formula>$Y$7</formula>
    </cfRule>
  </conditionalFormatting>
  <conditionalFormatting sqref="AA10:AA59">
    <cfRule type="cellIs" dxfId="604" priority="94" operator="lessThan">
      <formula>$AA$7</formula>
    </cfRule>
  </conditionalFormatting>
  <conditionalFormatting sqref="AB10:AB59">
    <cfRule type="cellIs" dxfId="603" priority="93" operator="lessThan">
      <formula>$AB$7</formula>
    </cfRule>
  </conditionalFormatting>
  <conditionalFormatting sqref="AD10:AD59">
    <cfRule type="cellIs" dxfId="602" priority="92" operator="lessThan">
      <formula>$AD$7</formula>
    </cfRule>
  </conditionalFormatting>
  <conditionalFormatting sqref="AE10:AE59">
    <cfRule type="cellIs" dxfId="601" priority="91" operator="lessThan">
      <formula>$AE$7</formula>
    </cfRule>
  </conditionalFormatting>
  <conditionalFormatting sqref="AG10:AG59">
    <cfRule type="cellIs" dxfId="600" priority="90" operator="lessThan">
      <formula>$AG$7</formula>
    </cfRule>
  </conditionalFormatting>
  <conditionalFormatting sqref="AH10:AH59">
    <cfRule type="cellIs" dxfId="599" priority="89" operator="lessThan">
      <formula>$AH$7</formula>
    </cfRule>
  </conditionalFormatting>
  <conditionalFormatting sqref="AJ10:AJ59">
    <cfRule type="cellIs" dxfId="598" priority="88" operator="lessThan">
      <formula>$AJ$7</formula>
    </cfRule>
  </conditionalFormatting>
  <conditionalFormatting sqref="AK10:AK59">
    <cfRule type="cellIs" dxfId="597" priority="87" operator="lessThan">
      <formula>$AK$7</formula>
    </cfRule>
  </conditionalFormatting>
  <conditionalFormatting sqref="U10:U32">
    <cfRule type="cellIs" dxfId="596" priority="86" operator="lessThan">
      <formula>$U$7</formula>
    </cfRule>
  </conditionalFormatting>
  <conditionalFormatting sqref="V10:V32">
    <cfRule type="cellIs" dxfId="595" priority="85" operator="lessThan">
      <formula>$V$7</formula>
    </cfRule>
  </conditionalFormatting>
  <conditionalFormatting sqref="U10:U32">
    <cfRule type="cellIs" dxfId="594" priority="84" operator="lessThan">
      <formula>$U$7</formula>
    </cfRule>
  </conditionalFormatting>
  <conditionalFormatting sqref="V10:V32">
    <cfRule type="cellIs" dxfId="593" priority="83" operator="lessThan">
      <formula>$V$7</formula>
    </cfRule>
  </conditionalFormatting>
  <conditionalFormatting sqref="F12:F59">
    <cfRule type="cellIs" dxfId="592" priority="82" operator="lessThan">
      <formula>$F$7</formula>
    </cfRule>
  </conditionalFormatting>
  <conditionalFormatting sqref="G11:G59">
    <cfRule type="cellIs" dxfId="591" priority="81" operator="lessThan">
      <formula>$G$7</formula>
    </cfRule>
  </conditionalFormatting>
  <conditionalFormatting sqref="I11:I59">
    <cfRule type="cellIs" dxfId="590" priority="80" operator="lessThan">
      <formula>$I$7</formula>
    </cfRule>
  </conditionalFormatting>
  <conditionalFormatting sqref="J11:J59">
    <cfRule type="cellIs" dxfId="589" priority="79" operator="lessThan">
      <formula>$J$7</formula>
    </cfRule>
  </conditionalFormatting>
  <conditionalFormatting sqref="L11:L59">
    <cfRule type="cellIs" dxfId="588" priority="78" operator="lessThan">
      <formula>$L$7</formula>
    </cfRule>
  </conditionalFormatting>
  <conditionalFormatting sqref="M11:M59">
    <cfRule type="cellIs" dxfId="587" priority="77" operator="lessThan">
      <formula>$M$7</formula>
    </cfRule>
  </conditionalFormatting>
  <conditionalFormatting sqref="O11:O59">
    <cfRule type="cellIs" dxfId="586" priority="76" operator="lessThan">
      <formula>$O$7</formula>
    </cfRule>
  </conditionalFormatting>
  <conditionalFormatting sqref="P11:P59">
    <cfRule type="cellIs" dxfId="585" priority="75" operator="lessThan">
      <formula>$P$7</formula>
    </cfRule>
  </conditionalFormatting>
  <conditionalFormatting sqref="R11:R59">
    <cfRule type="cellIs" dxfId="584" priority="74" operator="lessThan">
      <formula>$R$7</formula>
    </cfRule>
  </conditionalFormatting>
  <conditionalFormatting sqref="S11:S59">
    <cfRule type="cellIs" dxfId="583" priority="73" operator="lessThan">
      <formula>$S$7</formula>
    </cfRule>
  </conditionalFormatting>
  <conditionalFormatting sqref="U11:U59">
    <cfRule type="cellIs" dxfId="582" priority="72" operator="lessThan">
      <formula>$U$7</formula>
    </cfRule>
  </conditionalFormatting>
  <conditionalFormatting sqref="V11:V59">
    <cfRule type="cellIs" dxfId="581" priority="71" operator="lessThan">
      <formula>$V$7</formula>
    </cfRule>
  </conditionalFormatting>
  <conditionalFormatting sqref="X11:X59">
    <cfRule type="cellIs" dxfId="580" priority="70" operator="lessThan">
      <formula>$X$7</formula>
    </cfRule>
  </conditionalFormatting>
  <conditionalFormatting sqref="Y11:Y59">
    <cfRule type="cellIs" dxfId="579" priority="69" operator="lessThan">
      <formula>$Y$7</formula>
    </cfRule>
  </conditionalFormatting>
  <conditionalFormatting sqref="AA11:AA59">
    <cfRule type="cellIs" dxfId="578" priority="68" operator="lessThan">
      <formula>$AA$7</formula>
    </cfRule>
  </conditionalFormatting>
  <conditionalFormatting sqref="AB11:AB59">
    <cfRule type="cellIs" dxfId="577" priority="67" operator="lessThan">
      <formula>$AB$7</formula>
    </cfRule>
  </conditionalFormatting>
  <conditionalFormatting sqref="AD11:AD59">
    <cfRule type="cellIs" dxfId="576" priority="66" operator="lessThan">
      <formula>$AD$7</formula>
    </cfRule>
  </conditionalFormatting>
  <conditionalFormatting sqref="AE11:AE59">
    <cfRule type="cellIs" dxfId="575" priority="65" operator="lessThan">
      <formula>$AE$7</formula>
    </cfRule>
  </conditionalFormatting>
  <conditionalFormatting sqref="AG10:AG59">
    <cfRule type="cellIs" dxfId="574" priority="64" operator="lessThan">
      <formula>$AG$7</formula>
    </cfRule>
  </conditionalFormatting>
  <conditionalFormatting sqref="AH10:AH59">
    <cfRule type="cellIs" dxfId="573" priority="63" operator="lessThan">
      <formula>$AH$7</formula>
    </cfRule>
  </conditionalFormatting>
  <conditionalFormatting sqref="AJ10:AJ59">
    <cfRule type="cellIs" dxfId="572" priority="62" operator="lessThan">
      <formula>$AJ$7</formula>
    </cfRule>
  </conditionalFormatting>
  <conditionalFormatting sqref="AK10:AK59">
    <cfRule type="cellIs" dxfId="571" priority="61" operator="lessThan">
      <formula>$AK$7</formula>
    </cfRule>
  </conditionalFormatting>
  <conditionalFormatting sqref="F12:F59">
    <cfRule type="cellIs" dxfId="570" priority="60" operator="lessThan">
      <formula>$F$7</formula>
    </cfRule>
  </conditionalFormatting>
  <conditionalFormatting sqref="G11:G59">
    <cfRule type="cellIs" dxfId="569" priority="59" operator="lessThan">
      <formula>$G$7</formula>
    </cfRule>
  </conditionalFormatting>
  <conditionalFormatting sqref="I11:I59">
    <cfRule type="cellIs" dxfId="568" priority="58" operator="lessThan">
      <formula>$I$7</formula>
    </cfRule>
  </conditionalFormatting>
  <conditionalFormatting sqref="J11:J59">
    <cfRule type="cellIs" dxfId="567" priority="57" operator="lessThan">
      <formula>$J$7</formula>
    </cfRule>
  </conditionalFormatting>
  <conditionalFormatting sqref="L11:L59">
    <cfRule type="cellIs" dxfId="566" priority="56" operator="lessThan">
      <formula>$L$7</formula>
    </cfRule>
  </conditionalFormatting>
  <conditionalFormatting sqref="M11:M59">
    <cfRule type="cellIs" dxfId="565" priority="55" operator="lessThan">
      <formula>$M$7</formula>
    </cfRule>
  </conditionalFormatting>
  <conditionalFormatting sqref="O11:O59">
    <cfRule type="cellIs" dxfId="564" priority="54" operator="lessThan">
      <formula>$O$7</formula>
    </cfRule>
  </conditionalFormatting>
  <conditionalFormatting sqref="P11:P59">
    <cfRule type="cellIs" dxfId="563" priority="53" operator="lessThan">
      <formula>$P$7</formula>
    </cfRule>
  </conditionalFormatting>
  <conditionalFormatting sqref="R11:R59">
    <cfRule type="cellIs" dxfId="562" priority="52" operator="lessThan">
      <formula>$R$7</formula>
    </cfRule>
  </conditionalFormatting>
  <conditionalFormatting sqref="S11:S59">
    <cfRule type="cellIs" dxfId="561" priority="51" operator="lessThan">
      <formula>$S$7</formula>
    </cfRule>
  </conditionalFormatting>
  <conditionalFormatting sqref="U11:U59">
    <cfRule type="cellIs" dxfId="560" priority="50" operator="lessThan">
      <formula>$U$7</formula>
    </cfRule>
  </conditionalFormatting>
  <conditionalFormatting sqref="V11:V59">
    <cfRule type="cellIs" dxfId="559" priority="49" operator="lessThan">
      <formula>$V$7</formula>
    </cfRule>
  </conditionalFormatting>
  <conditionalFormatting sqref="X11:X59">
    <cfRule type="cellIs" dxfId="558" priority="48" operator="lessThan">
      <formula>$X$7</formula>
    </cfRule>
  </conditionalFormatting>
  <conditionalFormatting sqref="Y11:Y59">
    <cfRule type="cellIs" dxfId="557" priority="47" operator="lessThan">
      <formula>$Y$7</formula>
    </cfRule>
  </conditionalFormatting>
  <conditionalFormatting sqref="AA11:AA59">
    <cfRule type="cellIs" dxfId="556" priority="46" operator="lessThan">
      <formula>$AA$7</formula>
    </cfRule>
  </conditionalFormatting>
  <conditionalFormatting sqref="AB11:AB59">
    <cfRule type="cellIs" dxfId="555" priority="45" operator="lessThan">
      <formula>$AB$7</formula>
    </cfRule>
  </conditionalFormatting>
  <conditionalFormatting sqref="AD11:AD59">
    <cfRule type="cellIs" dxfId="554" priority="44" operator="lessThan">
      <formula>$AD$7</formula>
    </cfRule>
  </conditionalFormatting>
  <conditionalFormatting sqref="AE11:AE59">
    <cfRule type="cellIs" dxfId="553" priority="43" operator="lessThan">
      <formula>$AE$7</formula>
    </cfRule>
  </conditionalFormatting>
  <conditionalFormatting sqref="AG10:AG59">
    <cfRule type="cellIs" dxfId="552" priority="42" operator="lessThan">
      <formula>$AG$7</formula>
    </cfRule>
  </conditionalFormatting>
  <conditionalFormatting sqref="AH10:AH59">
    <cfRule type="cellIs" dxfId="551" priority="41" operator="lessThan">
      <formula>$AH$7</formula>
    </cfRule>
  </conditionalFormatting>
  <conditionalFormatting sqref="AJ10:AJ59">
    <cfRule type="cellIs" dxfId="550" priority="40" operator="lessThan">
      <formula>$AJ$7</formula>
    </cfRule>
  </conditionalFormatting>
  <conditionalFormatting sqref="AK10:AK59">
    <cfRule type="cellIs" dxfId="549" priority="39" operator="lessThan">
      <formula>$AK$7</formula>
    </cfRule>
  </conditionalFormatting>
  <conditionalFormatting sqref="F11">
    <cfRule type="cellIs" dxfId="548" priority="38" operator="lessThan">
      <formula>$F$7</formula>
    </cfRule>
  </conditionalFormatting>
  <conditionalFormatting sqref="F11">
    <cfRule type="cellIs" dxfId="547" priority="37" operator="lessThan">
      <formula>$F$7</formula>
    </cfRule>
  </conditionalFormatting>
  <conditionalFormatting sqref="F10">
    <cfRule type="cellIs" dxfId="546" priority="36" operator="lessThan">
      <formula>$F$7</formula>
    </cfRule>
  </conditionalFormatting>
  <conditionalFormatting sqref="G10">
    <cfRule type="cellIs" dxfId="545" priority="35" operator="lessThan">
      <formula>$G$7</formula>
    </cfRule>
  </conditionalFormatting>
  <conditionalFormatting sqref="I10">
    <cfRule type="cellIs" dxfId="544" priority="34" operator="lessThan">
      <formula>$I$7</formula>
    </cfRule>
  </conditionalFormatting>
  <conditionalFormatting sqref="J10">
    <cfRule type="cellIs" dxfId="543" priority="33" operator="lessThan">
      <formula>$J$7</formula>
    </cfRule>
  </conditionalFormatting>
  <conditionalFormatting sqref="O10">
    <cfRule type="cellIs" dxfId="542" priority="32" operator="lessThan">
      <formula>$O$7</formula>
    </cfRule>
  </conditionalFormatting>
  <conditionalFormatting sqref="P10">
    <cfRule type="cellIs" dxfId="541" priority="31" operator="lessThan">
      <formula>$P$7</formula>
    </cfRule>
  </conditionalFormatting>
  <conditionalFormatting sqref="R10">
    <cfRule type="cellIs" dxfId="540" priority="30" operator="lessThan">
      <formula>$R$7</formula>
    </cfRule>
  </conditionalFormatting>
  <conditionalFormatting sqref="S10">
    <cfRule type="cellIs" dxfId="539" priority="29" operator="lessThan">
      <formula>$S$7</formula>
    </cfRule>
  </conditionalFormatting>
  <conditionalFormatting sqref="U10">
    <cfRule type="cellIs" dxfId="538" priority="28" operator="lessThan">
      <formula>$U$7</formula>
    </cfRule>
  </conditionalFormatting>
  <conditionalFormatting sqref="V10">
    <cfRule type="cellIs" dxfId="537" priority="27" operator="lessThan">
      <formula>$V$7</formula>
    </cfRule>
  </conditionalFormatting>
  <conditionalFormatting sqref="X10">
    <cfRule type="cellIs" dxfId="536" priority="26" operator="lessThan">
      <formula>$X$7</formula>
    </cfRule>
  </conditionalFormatting>
  <conditionalFormatting sqref="Y10">
    <cfRule type="cellIs" dxfId="535" priority="25" operator="lessThan">
      <formula>$Y$7</formula>
    </cfRule>
  </conditionalFormatting>
  <conditionalFormatting sqref="AA10">
    <cfRule type="cellIs" dxfId="534" priority="24" operator="lessThan">
      <formula>$AA$7</formula>
    </cfRule>
  </conditionalFormatting>
  <conditionalFormatting sqref="AB10">
    <cfRule type="cellIs" dxfId="533" priority="23" operator="lessThan">
      <formula>$AB$7</formula>
    </cfRule>
  </conditionalFormatting>
  <conditionalFormatting sqref="AD10">
    <cfRule type="cellIs" dxfId="532" priority="22" operator="lessThan">
      <formula>$AD$7</formula>
    </cfRule>
  </conditionalFormatting>
  <conditionalFormatting sqref="AE10">
    <cfRule type="cellIs" dxfId="531" priority="21" operator="lessThan">
      <formula>$AE$7</formula>
    </cfRule>
  </conditionalFormatting>
  <conditionalFormatting sqref="F10">
    <cfRule type="cellIs" dxfId="530" priority="20" operator="lessThan">
      <formula>$F$7</formula>
    </cfRule>
  </conditionalFormatting>
  <conditionalFormatting sqref="G10">
    <cfRule type="cellIs" dxfId="529" priority="19" operator="lessThan">
      <formula>$G$7</formula>
    </cfRule>
  </conditionalFormatting>
  <conditionalFormatting sqref="I10">
    <cfRule type="cellIs" dxfId="528" priority="18" operator="lessThan">
      <formula>$I$7</formula>
    </cfRule>
  </conditionalFormatting>
  <conditionalFormatting sqref="J10">
    <cfRule type="cellIs" dxfId="527" priority="17" operator="lessThan">
      <formula>$J$7</formula>
    </cfRule>
  </conditionalFormatting>
  <conditionalFormatting sqref="O10">
    <cfRule type="cellIs" dxfId="526" priority="16" operator="lessThan">
      <formula>$O$7</formula>
    </cfRule>
  </conditionalFormatting>
  <conditionalFormatting sqref="P10">
    <cfRule type="cellIs" dxfId="525" priority="15" operator="lessThan">
      <formula>$P$7</formula>
    </cfRule>
  </conditionalFormatting>
  <conditionalFormatting sqref="R10">
    <cfRule type="cellIs" dxfId="524" priority="14" operator="lessThan">
      <formula>$R$7</formula>
    </cfRule>
  </conditionalFormatting>
  <conditionalFormatting sqref="S10">
    <cfRule type="cellIs" dxfId="523" priority="13" operator="lessThan">
      <formula>$S$7</formula>
    </cfRule>
  </conditionalFormatting>
  <conditionalFormatting sqref="U10">
    <cfRule type="cellIs" dxfId="522" priority="12" operator="lessThan">
      <formula>$U$7</formula>
    </cfRule>
  </conditionalFormatting>
  <conditionalFormatting sqref="V10">
    <cfRule type="cellIs" dxfId="521" priority="11" operator="lessThan">
      <formula>$V$7</formula>
    </cfRule>
  </conditionalFormatting>
  <conditionalFormatting sqref="X10">
    <cfRule type="cellIs" dxfId="520" priority="10" operator="lessThan">
      <formula>$X$7</formula>
    </cfRule>
  </conditionalFormatting>
  <conditionalFormatting sqref="Y10">
    <cfRule type="cellIs" dxfId="519" priority="9" operator="lessThan">
      <formula>$Y$7</formula>
    </cfRule>
  </conditionalFormatting>
  <conditionalFormatting sqref="AA10">
    <cfRule type="cellIs" dxfId="518" priority="8" operator="lessThan">
      <formula>$AA$7</formula>
    </cfRule>
  </conditionalFormatting>
  <conditionalFormatting sqref="AB10">
    <cfRule type="cellIs" dxfId="517" priority="7" operator="lessThan">
      <formula>$AB$7</formula>
    </cfRule>
  </conditionalFormatting>
  <conditionalFormatting sqref="AD10">
    <cfRule type="cellIs" dxfId="516" priority="6" operator="lessThan">
      <formula>$AD$7</formula>
    </cfRule>
  </conditionalFormatting>
  <conditionalFormatting sqref="AE10">
    <cfRule type="cellIs" dxfId="515" priority="5" operator="lessThan">
      <formula>$AE$7</formula>
    </cfRule>
  </conditionalFormatting>
  <conditionalFormatting sqref="L10">
    <cfRule type="cellIs" dxfId="514" priority="4" operator="lessThan">
      <formula>$L$7</formula>
    </cfRule>
  </conditionalFormatting>
  <conditionalFormatting sqref="M10">
    <cfRule type="cellIs" dxfId="513" priority="3" operator="lessThan">
      <formula>$M$7</formula>
    </cfRule>
  </conditionalFormatting>
  <conditionalFormatting sqref="L10">
    <cfRule type="cellIs" dxfId="512" priority="2" operator="lessThan">
      <formula>$L$7</formula>
    </cfRule>
  </conditionalFormatting>
  <conditionalFormatting sqref="M10">
    <cfRule type="cellIs" dxfId="511" priority="1" operator="lessThan">
      <formula>$M$7</formula>
    </cfRule>
  </conditionalFormatting>
  <dataValidations count="2">
    <dataValidation type="decimal" allowBlank="1" showInputMessage="1" showErrorMessage="1" error="LIHAT PENGATURAN NILAI !" sqref="U7:V7 AJ7:AK7 R7:S7 AG7:AH7 AD7:AE7 I7:J7 F7:G7 AA7:AB7 X7:Y7 O7:P7 L7:M7 AA11:AB59 X11:Y59 U11:V59 R11:S59 O11:P59 L11:M59 I11:J59 F11:G59 AG10:AH59 AJ10:AK59 AD11:AE59">
      <formula1>$AW$12</formula1>
      <formula2>$AW$13</formula2>
    </dataValidation>
    <dataValidation type="decimal" allowBlank="1" showInputMessage="1" showErrorMessage="1" error="LIHAT PENGATURAN NILAI !" sqref="AD10:AE10 AA10:AB10 X10:Y10 U10:V10 R10:S10 O10:P10 L10:M10 I10:J10 F10:G10">
      <formula1>$AU$12</formula1>
      <formula2>$AU$13</formula2>
    </dataValidation>
  </dataValidations>
  <pageMargins left="0.31496062992125984" right="1.3779527559055118" top="0.35433070866141736" bottom="0.15748031496062992" header="0.31496062992125984" footer="0.31496062992125984"/>
  <pageSetup paperSize="5" scale="55" orientation="landscape" blackAndWhite="1" horizontalDpi="4294967293" verticalDpi="4294967293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X71"/>
  <sheetViews>
    <sheetView showGridLines="0" zoomScale="90" zoomScaleNormal="90" zoomScaleSheetLayoutView="80" workbookViewId="0">
      <pane xSplit="5" ySplit="9" topLeftCell="F21" activePane="bottomRight" state="frozen"/>
      <selection pane="topRight" activeCell="F1" sqref="F1"/>
      <selection pane="bottomLeft" activeCell="A10" sqref="A10"/>
      <selection pane="bottomRight" activeCell="AF29" sqref="AF29"/>
    </sheetView>
  </sheetViews>
  <sheetFormatPr defaultColWidth="0" defaultRowHeight="14.5"/>
  <cols>
    <col min="1" max="1" width="2.1796875" style="1" customWidth="1"/>
    <col min="2" max="2" width="5.26953125" style="1" customWidth="1"/>
    <col min="3" max="3" width="7.81640625" style="1" customWidth="1"/>
    <col min="4" max="4" width="38.26953125" style="1" customWidth="1"/>
    <col min="5" max="5" width="8.81640625" style="1" customWidth="1"/>
    <col min="6" max="38" width="6.1796875" style="1" customWidth="1"/>
    <col min="39" max="40" width="12" style="1" bestFit="1" customWidth="1"/>
    <col min="41" max="41" width="8" style="1" bestFit="1" customWidth="1"/>
    <col min="42" max="42" width="12" style="1" bestFit="1" customWidth="1"/>
    <col min="43" max="43" width="2.81640625" style="1" customWidth="1"/>
    <col min="44" max="44" width="11.1796875" style="1" customWidth="1"/>
    <col min="45" max="45" width="3.26953125" style="1" customWidth="1"/>
    <col min="46" max="46" width="2.1796875" style="1" customWidth="1"/>
    <col min="47" max="47" width="3.54296875" style="1" customWidth="1"/>
    <col min="48" max="48" width="19" style="1" customWidth="1"/>
    <col min="49" max="49" width="9.1796875" style="1" customWidth="1"/>
    <col min="50" max="50" width="2.453125" style="1" customWidth="1"/>
    <col min="51" max="16384" width="9.1796875" style="1" hidden="1"/>
  </cols>
  <sheetData>
    <row r="1" spans="2:49" ht="20">
      <c r="B1" s="447" t="s">
        <v>200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  <c r="AG1" s="447"/>
      <c r="AH1" s="447"/>
      <c r="AI1" s="447"/>
      <c r="AJ1" s="447"/>
      <c r="AK1" s="447"/>
      <c r="AL1" s="447"/>
      <c r="AM1" s="447"/>
      <c r="AN1" s="447"/>
      <c r="AO1" s="447"/>
      <c r="AP1" s="447"/>
    </row>
    <row r="2" spans="2:49" ht="6.65" customHeight="1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2:49" ht="15" customHeight="1">
      <c r="D3" s="27" t="s">
        <v>13</v>
      </c>
      <c r="E3" s="27"/>
      <c r="F3" s="29" t="s">
        <v>67</v>
      </c>
      <c r="G3" s="28" t="str">
        <f>UPPER(Nama_Sekolah)</f>
        <v>SEKOLAH DASAR NEGERI 1 GIRIHARJO</v>
      </c>
      <c r="H3" s="29"/>
      <c r="J3" s="28"/>
      <c r="K3" s="29"/>
      <c r="L3" s="213"/>
      <c r="M3" s="213"/>
      <c r="N3" s="29"/>
      <c r="O3" s="213"/>
      <c r="P3" s="213"/>
      <c r="Q3" s="29"/>
      <c r="R3" s="213"/>
      <c r="S3" s="213"/>
      <c r="T3" s="29"/>
      <c r="W3" s="29"/>
      <c r="Z3" s="29"/>
      <c r="AC3" s="29"/>
      <c r="AF3" s="29"/>
      <c r="AI3" s="29"/>
      <c r="AL3" s="29"/>
      <c r="AM3" s="29"/>
      <c r="AN3" s="29"/>
    </row>
    <row r="4" spans="2:49">
      <c r="D4" s="27" t="s">
        <v>14</v>
      </c>
      <c r="E4" s="27"/>
      <c r="F4" s="29" t="s">
        <v>67</v>
      </c>
      <c r="G4" s="28" t="str">
        <f>NPSN</f>
        <v>20311583</v>
      </c>
      <c r="H4" s="29"/>
      <c r="J4" s="28"/>
      <c r="K4" s="29"/>
      <c r="L4" s="213"/>
      <c r="M4" s="213"/>
      <c r="N4" s="29"/>
      <c r="O4" s="213"/>
      <c r="P4" s="213"/>
      <c r="Q4" s="29"/>
      <c r="R4" s="213"/>
      <c r="S4" s="213"/>
      <c r="T4" s="29"/>
      <c r="W4" s="29"/>
      <c r="Z4" s="29"/>
      <c r="AC4" s="29"/>
      <c r="AF4" s="29"/>
      <c r="AI4" s="29"/>
      <c r="AL4" s="29"/>
      <c r="AM4" s="29"/>
      <c r="AN4" s="29"/>
    </row>
    <row r="5" spans="2:49">
      <c r="D5" s="27" t="s">
        <v>68</v>
      </c>
      <c r="E5" s="27"/>
      <c r="F5" s="29" t="s">
        <v>67</v>
      </c>
      <c r="G5" s="28" t="str">
        <f>Kecamatan&amp;", "&amp;Kabupaten&amp;", "&amp;Provinsi</f>
        <v>Puhpelem, Wonogiri, Jawa Tengah</v>
      </c>
      <c r="H5" s="29"/>
      <c r="J5" s="28"/>
      <c r="K5" s="29"/>
      <c r="L5" s="213"/>
      <c r="M5" s="213"/>
      <c r="N5" s="29"/>
      <c r="O5" s="213"/>
      <c r="P5" s="213"/>
      <c r="Q5" s="29"/>
      <c r="R5" s="213"/>
      <c r="S5" s="213"/>
      <c r="T5" s="29"/>
      <c r="W5" s="29"/>
      <c r="Z5" s="29"/>
      <c r="AC5" s="29"/>
      <c r="AF5" s="29"/>
      <c r="AI5" s="29"/>
      <c r="AL5" s="29"/>
      <c r="AM5" s="29"/>
      <c r="AN5" s="29"/>
    </row>
    <row r="6" spans="2:49" ht="9" customHeight="1">
      <c r="D6" s="21"/>
      <c r="E6" s="21"/>
      <c r="F6" s="23"/>
      <c r="G6" s="23"/>
      <c r="H6" s="23"/>
      <c r="I6" s="22"/>
      <c r="J6" s="22"/>
      <c r="K6" s="23"/>
      <c r="N6" s="23"/>
      <c r="Q6" s="23"/>
      <c r="T6" s="23"/>
      <c r="W6" s="23"/>
      <c r="Z6" s="23"/>
      <c r="AC6" s="23"/>
      <c r="AF6" s="23"/>
      <c r="AI6" s="23"/>
      <c r="AL6" s="23"/>
      <c r="AM6" s="23"/>
      <c r="AN6" s="23"/>
    </row>
    <row r="7" spans="2:49" ht="17.25" customHeight="1">
      <c r="B7" s="459" t="s">
        <v>7</v>
      </c>
      <c r="C7" s="461" t="s">
        <v>43</v>
      </c>
      <c r="D7" s="459" t="s">
        <v>8</v>
      </c>
      <c r="E7" s="32" t="s">
        <v>66</v>
      </c>
      <c r="F7" s="51">
        <v>71</v>
      </c>
      <c r="G7" s="51">
        <v>71</v>
      </c>
      <c r="H7" s="444" t="s">
        <v>173</v>
      </c>
      <c r="I7" s="51">
        <v>71</v>
      </c>
      <c r="J7" s="51">
        <v>71</v>
      </c>
      <c r="K7" s="444" t="s">
        <v>173</v>
      </c>
      <c r="L7" s="51">
        <v>71</v>
      </c>
      <c r="M7" s="51">
        <v>71</v>
      </c>
      <c r="N7" s="444" t="s">
        <v>173</v>
      </c>
      <c r="O7" s="51">
        <v>65</v>
      </c>
      <c r="P7" s="51">
        <v>75</v>
      </c>
      <c r="Q7" s="444" t="s">
        <v>173</v>
      </c>
      <c r="R7" s="51">
        <v>70</v>
      </c>
      <c r="S7" s="51">
        <v>75</v>
      </c>
      <c r="T7" s="444" t="s">
        <v>173</v>
      </c>
      <c r="U7" s="51">
        <v>71</v>
      </c>
      <c r="V7" s="51">
        <v>71</v>
      </c>
      <c r="W7" s="444" t="s">
        <v>173</v>
      </c>
      <c r="X7" s="51">
        <v>71</v>
      </c>
      <c r="Y7" s="51">
        <v>71</v>
      </c>
      <c r="Z7" s="444" t="s">
        <v>173</v>
      </c>
      <c r="AA7" s="51">
        <v>71</v>
      </c>
      <c r="AB7" s="51">
        <v>71</v>
      </c>
      <c r="AC7" s="444" t="s">
        <v>173</v>
      </c>
      <c r="AD7" s="51">
        <v>71</v>
      </c>
      <c r="AE7" s="51">
        <v>71</v>
      </c>
      <c r="AF7" s="444" t="s">
        <v>173</v>
      </c>
      <c r="AG7" s="51">
        <v>71</v>
      </c>
      <c r="AH7" s="51">
        <v>71</v>
      </c>
      <c r="AI7" s="444" t="s">
        <v>173</v>
      </c>
      <c r="AJ7" s="51">
        <v>71</v>
      </c>
      <c r="AK7" s="51">
        <v>71</v>
      </c>
      <c r="AL7" s="444" t="s">
        <v>173</v>
      </c>
      <c r="AM7" s="465" t="s">
        <v>10</v>
      </c>
      <c r="AN7" s="466"/>
      <c r="AO7" s="455" t="s">
        <v>9</v>
      </c>
      <c r="AP7" s="457" t="s">
        <v>10</v>
      </c>
    </row>
    <row r="8" spans="2:49">
      <c r="B8" s="460"/>
      <c r="C8" s="462"/>
      <c r="D8" s="460"/>
      <c r="E8" s="32" t="s">
        <v>69</v>
      </c>
      <c r="F8" s="436" t="str">
        <f>PENGATURAN!F5</f>
        <v>Agama</v>
      </c>
      <c r="G8" s="437"/>
      <c r="H8" s="445"/>
      <c r="I8" s="438" t="str">
        <f>PENGATURAN!F6</f>
        <v>PKn</v>
      </c>
      <c r="J8" s="439"/>
      <c r="K8" s="445"/>
      <c r="L8" s="440" t="str">
        <f>PENGATURAN!F7</f>
        <v>B. Ind.</v>
      </c>
      <c r="M8" s="441"/>
      <c r="N8" s="445"/>
      <c r="O8" s="442" t="str">
        <f>PENGATURAN!F8</f>
        <v>MTK</v>
      </c>
      <c r="P8" s="443"/>
      <c r="Q8" s="445"/>
      <c r="R8" s="469" t="str">
        <f>PENGATURAN!F9</f>
        <v>IPA</v>
      </c>
      <c r="S8" s="470"/>
      <c r="T8" s="445"/>
      <c r="U8" s="448" t="str">
        <f>PENGATURAN!F10</f>
        <v xml:space="preserve">IPS </v>
      </c>
      <c r="V8" s="449"/>
      <c r="W8" s="445"/>
      <c r="X8" s="450" t="str">
        <f>PENGATURAN!F11</f>
        <v>SBdP</v>
      </c>
      <c r="Y8" s="449"/>
      <c r="Z8" s="445"/>
      <c r="AA8" s="451" t="str">
        <f>PENGATURAN!F12</f>
        <v>PJOK</v>
      </c>
      <c r="AB8" s="452"/>
      <c r="AC8" s="445"/>
      <c r="AD8" s="453" t="str">
        <f>PENGATURAN!F16</f>
        <v>Bahasa Jawa</v>
      </c>
      <c r="AE8" s="454"/>
      <c r="AF8" s="445"/>
      <c r="AG8" s="471">
        <f>PENGATURAN!F17</f>
        <v>0</v>
      </c>
      <c r="AH8" s="472"/>
      <c r="AI8" s="445"/>
      <c r="AJ8" s="463">
        <f>PENGATURAN!F18</f>
        <v>0</v>
      </c>
      <c r="AK8" s="464"/>
      <c r="AL8" s="445"/>
      <c r="AM8" s="467"/>
      <c r="AN8" s="468"/>
      <c r="AO8" s="456"/>
      <c r="AP8" s="458"/>
      <c r="AR8" s="34" t="s">
        <v>71</v>
      </c>
    </row>
    <row r="9" spans="2:49" ht="16" thickBot="1">
      <c r="B9" s="460"/>
      <c r="C9" s="462"/>
      <c r="D9" s="460"/>
      <c r="E9" s="220" t="s">
        <v>175</v>
      </c>
      <c r="F9" s="224" t="s">
        <v>171</v>
      </c>
      <c r="G9" s="223" t="s">
        <v>172</v>
      </c>
      <c r="H9" s="446"/>
      <c r="I9" s="222" t="s">
        <v>171</v>
      </c>
      <c r="J9" s="223" t="s">
        <v>172</v>
      </c>
      <c r="K9" s="446"/>
      <c r="L9" s="222" t="s">
        <v>171</v>
      </c>
      <c r="M9" s="223" t="s">
        <v>172</v>
      </c>
      <c r="N9" s="446"/>
      <c r="O9" s="222" t="s">
        <v>171</v>
      </c>
      <c r="P9" s="223" t="s">
        <v>172</v>
      </c>
      <c r="Q9" s="446"/>
      <c r="R9" s="222" t="s">
        <v>171</v>
      </c>
      <c r="S9" s="223" t="s">
        <v>172</v>
      </c>
      <c r="T9" s="446"/>
      <c r="U9" s="222" t="s">
        <v>171</v>
      </c>
      <c r="V9" s="223" t="s">
        <v>172</v>
      </c>
      <c r="W9" s="446"/>
      <c r="X9" s="222" t="s">
        <v>171</v>
      </c>
      <c r="Y9" s="223" t="s">
        <v>172</v>
      </c>
      <c r="Z9" s="446"/>
      <c r="AA9" s="222" t="s">
        <v>171</v>
      </c>
      <c r="AB9" s="223" t="s">
        <v>172</v>
      </c>
      <c r="AC9" s="446"/>
      <c r="AD9" s="222" t="s">
        <v>171</v>
      </c>
      <c r="AE9" s="223" t="s">
        <v>172</v>
      </c>
      <c r="AF9" s="446"/>
      <c r="AG9" s="222" t="s">
        <v>171</v>
      </c>
      <c r="AH9" s="223" t="s">
        <v>172</v>
      </c>
      <c r="AI9" s="446"/>
      <c r="AJ9" s="222" t="s">
        <v>171</v>
      </c>
      <c r="AK9" s="223" t="s">
        <v>172</v>
      </c>
      <c r="AL9" s="446"/>
      <c r="AM9" s="222" t="s">
        <v>171</v>
      </c>
      <c r="AN9" s="223" t="s">
        <v>172</v>
      </c>
      <c r="AO9" s="473"/>
      <c r="AP9" s="474"/>
      <c r="AR9" s="35" t="s">
        <v>176</v>
      </c>
    </row>
    <row r="10" spans="2:49" ht="15" thickTop="1">
      <c r="B10" s="226">
        <v>1</v>
      </c>
      <c r="C10" s="226" t="str">
        <f>'Data Siswa'!C4&amp;""</f>
        <v>2887</v>
      </c>
      <c r="D10" s="227" t="str">
        <f>'Data Siswa'!F4&amp;""</f>
        <v/>
      </c>
      <c r="E10" s="433"/>
      <c r="F10" s="194">
        <v>93</v>
      </c>
      <c r="G10" s="194">
        <v>90</v>
      </c>
      <c r="H10" s="398">
        <f>IFERROR(AVERAGE(F10:G10),"")</f>
        <v>91.5</v>
      </c>
      <c r="I10" s="194">
        <v>86</v>
      </c>
      <c r="J10" s="194">
        <v>83</v>
      </c>
      <c r="K10" s="398">
        <f>IFERROR(AVERAGE(I10:J10),"")</f>
        <v>84.5</v>
      </c>
      <c r="L10" s="294">
        <v>81</v>
      </c>
      <c r="M10" s="294">
        <v>92</v>
      </c>
      <c r="N10" s="398">
        <f>IFERROR(AVERAGE(L10:M10),"")</f>
        <v>86.5</v>
      </c>
      <c r="O10" s="194">
        <v>75</v>
      </c>
      <c r="P10" s="194">
        <v>75</v>
      </c>
      <c r="Q10" s="398">
        <f>IFERROR(AVERAGE(O10:P10),"")</f>
        <v>75</v>
      </c>
      <c r="R10" s="194">
        <v>81</v>
      </c>
      <c r="S10" s="194">
        <v>80</v>
      </c>
      <c r="T10" s="398">
        <f>IFERROR(AVERAGE(R10:S10),"")</f>
        <v>80.5</v>
      </c>
      <c r="U10" s="194">
        <v>91</v>
      </c>
      <c r="V10" s="194">
        <v>87</v>
      </c>
      <c r="W10" s="398">
        <f>IFERROR(AVERAGE(U10:V10),"")</f>
        <v>89</v>
      </c>
      <c r="X10" s="194">
        <v>86</v>
      </c>
      <c r="Y10" s="194">
        <v>89</v>
      </c>
      <c r="Z10" s="398">
        <f>IFERROR(AVERAGE(X10:Y10),"")</f>
        <v>87.5</v>
      </c>
      <c r="AA10" s="194">
        <v>86</v>
      </c>
      <c r="AB10" s="194">
        <v>82</v>
      </c>
      <c r="AC10" s="398">
        <f>IFERROR(AVERAGE(AA10:AB10),"")</f>
        <v>84</v>
      </c>
      <c r="AD10" s="194">
        <v>87</v>
      </c>
      <c r="AE10" s="194">
        <v>81</v>
      </c>
      <c r="AF10" s="398">
        <f>IFERROR(AVERAGE(AD10:AE10),"")</f>
        <v>84</v>
      </c>
      <c r="AG10" s="49"/>
      <c r="AH10" s="49"/>
      <c r="AI10" s="398" t="str">
        <f>IFERROR(AVERAGE(AG10:AH10),"")</f>
        <v/>
      </c>
      <c r="AJ10" s="49"/>
      <c r="AK10" s="49"/>
      <c r="AL10" s="398" t="str">
        <f>IFERROR(AVERAGE(AJ10:AK10),"")</f>
        <v/>
      </c>
      <c r="AM10" s="396">
        <f>IFERROR(AVERAGE(F10,I10,L10,O10,R10,U10,X10,AA10,AD10,AG10,AJ10),"")</f>
        <v>85.111111111111114</v>
      </c>
      <c r="AN10" s="396">
        <f>IFERROR(AVERAGE(G10,J10,M10,P10,S10,V10,Y10,AB10,AE10,AH10,AK10),"")</f>
        <v>84.333333333333329</v>
      </c>
      <c r="AO10" s="396">
        <f>IF(SUM(H10,K10,N10,Q10,T10,W10,Z10,AC10,AF10,AI10,AL10)=0,"",SUM(H10,K10,N10,Q10,T10,W10,Z10,AC10,AF10,AI10,AL10))</f>
        <v>762.5</v>
      </c>
      <c r="AP10" s="396">
        <f>IFERROR(AVERAGE(H10,K10,N10,Q10,T10,W10,Z10,AC10,AF10,AI10,AL10),"")</f>
        <v>84.722222222222229</v>
      </c>
      <c r="AQ10" s="19"/>
      <c r="AR10" s="35" t="str">
        <f t="shared" ref="AR10:AR41" si="0">IF(D10="","Sembunyikan","Data")</f>
        <v>Sembunyikan</v>
      </c>
    </row>
    <row r="11" spans="2:49">
      <c r="B11" s="7">
        <v>2</v>
      </c>
      <c r="C11" s="7" t="str">
        <f>'Data Siswa'!C5&amp;""</f>
        <v>2888</v>
      </c>
      <c r="D11" s="11" t="str">
        <f>'Data Siswa'!F5&amp;""</f>
        <v/>
      </c>
      <c r="E11" s="434"/>
      <c r="F11" s="50">
        <v>78</v>
      </c>
      <c r="G11" s="50">
        <v>79</v>
      </c>
      <c r="H11" s="397">
        <f t="shared" ref="H11:H59" si="1">IFERROR(AVERAGE(F11:G11),"")</f>
        <v>78.5</v>
      </c>
      <c r="I11" s="50">
        <v>80</v>
      </c>
      <c r="J11" s="50">
        <v>73</v>
      </c>
      <c r="K11" s="397">
        <f t="shared" ref="K11:K59" si="2">IFERROR(AVERAGE(I11:J11),"")</f>
        <v>76.5</v>
      </c>
      <c r="L11" s="50">
        <v>73</v>
      </c>
      <c r="M11" s="50">
        <v>79</v>
      </c>
      <c r="N11" s="397">
        <f t="shared" ref="N11:N59" si="3">IFERROR(AVERAGE(L11:M11),"")</f>
        <v>76</v>
      </c>
      <c r="O11" s="50">
        <v>67</v>
      </c>
      <c r="P11" s="50">
        <v>68</v>
      </c>
      <c r="Q11" s="397">
        <f t="shared" ref="Q11:Q59" si="4">IFERROR(AVERAGE(O11:P11),"")</f>
        <v>67.5</v>
      </c>
      <c r="R11" s="50">
        <v>72</v>
      </c>
      <c r="S11" s="50">
        <v>71</v>
      </c>
      <c r="T11" s="397">
        <f t="shared" ref="T11:T59" si="5">IFERROR(AVERAGE(R11:S11),"")</f>
        <v>71.5</v>
      </c>
      <c r="U11" s="50">
        <v>79</v>
      </c>
      <c r="V11" s="50">
        <v>74</v>
      </c>
      <c r="W11" s="397">
        <f t="shared" ref="W11:W59" si="6">IFERROR(AVERAGE(U11:V11),"")</f>
        <v>76.5</v>
      </c>
      <c r="X11" s="50">
        <v>73</v>
      </c>
      <c r="Y11" s="50">
        <v>74</v>
      </c>
      <c r="Z11" s="397">
        <f t="shared" ref="Z11:Z59" si="7">IFERROR(AVERAGE(X11:Y11),"")</f>
        <v>73.5</v>
      </c>
      <c r="AA11" s="50">
        <v>79</v>
      </c>
      <c r="AB11" s="50">
        <v>76</v>
      </c>
      <c r="AC11" s="397">
        <f t="shared" ref="AC11:AC59" si="8">IFERROR(AVERAGE(AA11:AB11),"")</f>
        <v>77.5</v>
      </c>
      <c r="AD11" s="50">
        <v>73</v>
      </c>
      <c r="AE11" s="50">
        <v>71</v>
      </c>
      <c r="AF11" s="397">
        <f t="shared" ref="AF11:AF59" si="9">IFERROR(AVERAGE(AD11:AE11),"")</f>
        <v>72</v>
      </c>
      <c r="AG11" s="49"/>
      <c r="AH11" s="50"/>
      <c r="AI11" s="397" t="str">
        <f t="shared" ref="AI11:AI59" si="10">IFERROR(AVERAGE(AG11:AH11),"")</f>
        <v/>
      </c>
      <c r="AJ11" s="50"/>
      <c r="AK11" s="50"/>
      <c r="AL11" s="397" t="str">
        <f t="shared" ref="AL11:AL59" si="11">IFERROR(AVERAGE(AJ11:AK11),"")</f>
        <v/>
      </c>
      <c r="AM11" s="396">
        <f t="shared" ref="AM11:AN59" si="12">IFERROR(AVERAGE(F11,I11,L11,O11,R11,U11,X11,AA11,AD11,AG11,AJ11),"")</f>
        <v>74.888888888888886</v>
      </c>
      <c r="AN11" s="396">
        <f t="shared" si="12"/>
        <v>73.888888888888886</v>
      </c>
      <c r="AO11" s="396">
        <f t="shared" ref="AO11:AO59" si="13">IF(SUM(H11,K11,N11,Q11,T11,W11,Z11,AC11,AF11,AI11,AL11)=0,"",SUM(H11,K11,N11,Q11,T11,W11,Z11,AC11,AF11,AI11,AL11))</f>
        <v>669.5</v>
      </c>
      <c r="AP11" s="396">
        <f t="shared" ref="AP11:AP59" si="14">IFERROR(AVERAGE(H11,K11,N11,Q11,T11,W11,Z11,AC11,AF11,AI11,AL11),"")</f>
        <v>74.388888888888886</v>
      </c>
      <c r="AR11" s="35" t="str">
        <f t="shared" si="0"/>
        <v>Sembunyikan</v>
      </c>
      <c r="AV11" s="4" t="s">
        <v>46</v>
      </c>
      <c r="AW11" s="5"/>
    </row>
    <row r="12" spans="2:49">
      <c r="B12" s="7">
        <v>3</v>
      </c>
      <c r="C12" s="7" t="str">
        <f>'Data Siswa'!C6&amp;""</f>
        <v>2886</v>
      </c>
      <c r="D12" s="11" t="str">
        <f>'Data Siswa'!F6&amp;""</f>
        <v/>
      </c>
      <c r="E12" s="434"/>
      <c r="F12" s="50">
        <v>89</v>
      </c>
      <c r="G12" s="50">
        <v>83</v>
      </c>
      <c r="H12" s="397">
        <f t="shared" si="1"/>
        <v>86</v>
      </c>
      <c r="I12" s="50">
        <v>83</v>
      </c>
      <c r="J12" s="50">
        <v>77</v>
      </c>
      <c r="K12" s="397">
        <f t="shared" si="2"/>
        <v>80</v>
      </c>
      <c r="L12" s="50">
        <v>82</v>
      </c>
      <c r="M12" s="50">
        <v>89</v>
      </c>
      <c r="N12" s="397">
        <f t="shared" si="3"/>
        <v>85.5</v>
      </c>
      <c r="O12" s="50">
        <v>78</v>
      </c>
      <c r="P12" s="50">
        <v>69</v>
      </c>
      <c r="Q12" s="397">
        <f t="shared" si="4"/>
        <v>73.5</v>
      </c>
      <c r="R12" s="50">
        <v>79</v>
      </c>
      <c r="S12" s="50">
        <v>72</v>
      </c>
      <c r="T12" s="397">
        <f t="shared" si="5"/>
        <v>75.5</v>
      </c>
      <c r="U12" s="50">
        <v>89</v>
      </c>
      <c r="V12" s="50">
        <v>79</v>
      </c>
      <c r="W12" s="397">
        <f t="shared" si="6"/>
        <v>84</v>
      </c>
      <c r="X12" s="50">
        <v>87</v>
      </c>
      <c r="Y12" s="50">
        <v>86</v>
      </c>
      <c r="Z12" s="397">
        <f t="shared" si="7"/>
        <v>86.5</v>
      </c>
      <c r="AA12" s="50">
        <v>86</v>
      </c>
      <c r="AB12" s="50">
        <v>75</v>
      </c>
      <c r="AC12" s="397">
        <f t="shared" si="8"/>
        <v>80.5</v>
      </c>
      <c r="AD12" s="50">
        <v>84</v>
      </c>
      <c r="AE12" s="50">
        <v>77</v>
      </c>
      <c r="AF12" s="397">
        <f t="shared" si="9"/>
        <v>80.5</v>
      </c>
      <c r="AG12" s="49"/>
      <c r="AH12" s="50"/>
      <c r="AI12" s="397" t="str">
        <f t="shared" si="10"/>
        <v/>
      </c>
      <c r="AJ12" s="50"/>
      <c r="AK12" s="50"/>
      <c r="AL12" s="397" t="str">
        <f t="shared" si="11"/>
        <v/>
      </c>
      <c r="AM12" s="396">
        <f t="shared" si="12"/>
        <v>84.111111111111114</v>
      </c>
      <c r="AN12" s="396">
        <f t="shared" si="12"/>
        <v>78.555555555555557</v>
      </c>
      <c r="AO12" s="396">
        <f t="shared" si="13"/>
        <v>732</v>
      </c>
      <c r="AP12" s="396">
        <f t="shared" si="14"/>
        <v>81.333333333333329</v>
      </c>
      <c r="AR12" s="35" t="str">
        <f t="shared" si="0"/>
        <v>Sembunyikan</v>
      </c>
      <c r="AV12" s="6" t="s">
        <v>44</v>
      </c>
      <c r="AW12" s="2">
        <f>PENGATURAN!K5</f>
        <v>10</v>
      </c>
    </row>
    <row r="13" spans="2:49">
      <c r="B13" s="7">
        <v>4</v>
      </c>
      <c r="C13" s="7" t="str">
        <f>'Data Siswa'!C7&amp;""</f>
        <v>2864</v>
      </c>
      <c r="D13" s="11" t="str">
        <f>'Data Siswa'!F7&amp;""</f>
        <v/>
      </c>
      <c r="E13" s="434"/>
      <c r="F13" s="50">
        <v>81</v>
      </c>
      <c r="G13" s="50">
        <v>80</v>
      </c>
      <c r="H13" s="397">
        <f t="shared" si="1"/>
        <v>80.5</v>
      </c>
      <c r="I13" s="50">
        <v>88</v>
      </c>
      <c r="J13" s="50">
        <v>76</v>
      </c>
      <c r="K13" s="397">
        <f t="shared" si="2"/>
        <v>82</v>
      </c>
      <c r="L13" s="50">
        <v>87</v>
      </c>
      <c r="M13" s="50">
        <v>85</v>
      </c>
      <c r="N13" s="397">
        <f t="shared" si="3"/>
        <v>86</v>
      </c>
      <c r="O13" s="50">
        <v>67</v>
      </c>
      <c r="P13" s="50">
        <v>66</v>
      </c>
      <c r="Q13" s="397">
        <f t="shared" si="4"/>
        <v>66.5</v>
      </c>
      <c r="R13" s="50">
        <v>77</v>
      </c>
      <c r="S13" s="50">
        <v>73</v>
      </c>
      <c r="T13" s="397">
        <f t="shared" si="5"/>
        <v>75</v>
      </c>
      <c r="U13" s="50">
        <v>81</v>
      </c>
      <c r="V13" s="50">
        <v>80</v>
      </c>
      <c r="W13" s="397">
        <f t="shared" si="6"/>
        <v>80.5</v>
      </c>
      <c r="X13" s="50">
        <v>79</v>
      </c>
      <c r="Y13" s="50">
        <v>79</v>
      </c>
      <c r="Z13" s="397">
        <f t="shared" si="7"/>
        <v>79</v>
      </c>
      <c r="AA13" s="50">
        <v>86</v>
      </c>
      <c r="AB13" s="50">
        <v>78</v>
      </c>
      <c r="AC13" s="397">
        <f t="shared" si="8"/>
        <v>82</v>
      </c>
      <c r="AD13" s="50">
        <v>80</v>
      </c>
      <c r="AE13" s="50">
        <v>75</v>
      </c>
      <c r="AF13" s="397">
        <f t="shared" si="9"/>
        <v>77.5</v>
      </c>
      <c r="AG13" s="49"/>
      <c r="AH13" s="50"/>
      <c r="AI13" s="397" t="str">
        <f t="shared" si="10"/>
        <v/>
      </c>
      <c r="AJ13" s="50"/>
      <c r="AK13" s="50"/>
      <c r="AL13" s="397" t="str">
        <f t="shared" si="11"/>
        <v/>
      </c>
      <c r="AM13" s="396">
        <f t="shared" si="12"/>
        <v>80.666666666666671</v>
      </c>
      <c r="AN13" s="396">
        <f t="shared" si="12"/>
        <v>76.888888888888886</v>
      </c>
      <c r="AO13" s="396">
        <f t="shared" si="13"/>
        <v>709</v>
      </c>
      <c r="AP13" s="396">
        <f t="shared" si="14"/>
        <v>78.777777777777771</v>
      </c>
      <c r="AR13" s="35" t="str">
        <f t="shared" si="0"/>
        <v>Sembunyikan</v>
      </c>
      <c r="AV13" s="6" t="s">
        <v>45</v>
      </c>
      <c r="AW13" s="2">
        <f>PENGATURAN!K6</f>
        <v>100</v>
      </c>
    </row>
    <row r="14" spans="2:49">
      <c r="B14" s="7">
        <v>5</v>
      </c>
      <c r="C14" s="7" t="str">
        <f>'Data Siswa'!C8&amp;""</f>
        <v>2890</v>
      </c>
      <c r="D14" s="11" t="str">
        <f>'Data Siswa'!F8&amp;""</f>
        <v/>
      </c>
      <c r="E14" s="434"/>
      <c r="F14" s="50">
        <v>85</v>
      </c>
      <c r="G14" s="50">
        <v>84</v>
      </c>
      <c r="H14" s="397">
        <f t="shared" si="1"/>
        <v>84.5</v>
      </c>
      <c r="I14" s="50">
        <v>87</v>
      </c>
      <c r="J14" s="50">
        <v>76</v>
      </c>
      <c r="K14" s="397">
        <f t="shared" si="2"/>
        <v>81.5</v>
      </c>
      <c r="L14" s="50">
        <v>89</v>
      </c>
      <c r="M14" s="50">
        <v>90</v>
      </c>
      <c r="N14" s="397">
        <f t="shared" si="3"/>
        <v>89.5</v>
      </c>
      <c r="O14" s="50">
        <v>90</v>
      </c>
      <c r="P14" s="50">
        <v>79</v>
      </c>
      <c r="Q14" s="397">
        <f t="shared" si="4"/>
        <v>84.5</v>
      </c>
      <c r="R14" s="50">
        <v>80</v>
      </c>
      <c r="S14" s="50">
        <v>78</v>
      </c>
      <c r="T14" s="397">
        <f t="shared" si="5"/>
        <v>79</v>
      </c>
      <c r="U14" s="50">
        <v>87</v>
      </c>
      <c r="V14" s="50">
        <v>81</v>
      </c>
      <c r="W14" s="397">
        <f t="shared" si="6"/>
        <v>84</v>
      </c>
      <c r="X14" s="50">
        <v>83</v>
      </c>
      <c r="Y14" s="50">
        <v>83</v>
      </c>
      <c r="Z14" s="397">
        <f t="shared" si="7"/>
        <v>83</v>
      </c>
      <c r="AA14" s="50">
        <v>91</v>
      </c>
      <c r="AB14" s="50">
        <v>86</v>
      </c>
      <c r="AC14" s="397">
        <f t="shared" si="8"/>
        <v>88.5</v>
      </c>
      <c r="AD14" s="50">
        <v>87</v>
      </c>
      <c r="AE14" s="50">
        <v>77</v>
      </c>
      <c r="AF14" s="397">
        <f t="shared" si="9"/>
        <v>82</v>
      </c>
      <c r="AG14" s="49"/>
      <c r="AH14" s="50"/>
      <c r="AI14" s="397" t="str">
        <f t="shared" si="10"/>
        <v/>
      </c>
      <c r="AJ14" s="50"/>
      <c r="AK14" s="50"/>
      <c r="AL14" s="397" t="str">
        <f t="shared" si="11"/>
        <v/>
      </c>
      <c r="AM14" s="396">
        <f t="shared" si="12"/>
        <v>86.555555555555557</v>
      </c>
      <c r="AN14" s="396">
        <f t="shared" si="12"/>
        <v>81.555555555555557</v>
      </c>
      <c r="AO14" s="396">
        <f t="shared" si="13"/>
        <v>756.5</v>
      </c>
      <c r="AP14" s="396">
        <f t="shared" si="14"/>
        <v>84.055555555555557</v>
      </c>
      <c r="AR14" s="35" t="str">
        <f t="shared" si="0"/>
        <v>Sembunyikan</v>
      </c>
    </row>
    <row r="15" spans="2:49">
      <c r="B15" s="7">
        <v>6</v>
      </c>
      <c r="C15" s="7" t="str">
        <f>'Data Siswa'!C9&amp;""</f>
        <v>2889</v>
      </c>
      <c r="D15" s="11" t="str">
        <f>'Data Siswa'!F9&amp;""</f>
        <v/>
      </c>
      <c r="E15" s="434"/>
      <c r="F15" s="50">
        <v>86</v>
      </c>
      <c r="G15" s="50">
        <v>81</v>
      </c>
      <c r="H15" s="397">
        <f t="shared" si="1"/>
        <v>83.5</v>
      </c>
      <c r="I15" s="50">
        <v>85</v>
      </c>
      <c r="J15" s="50">
        <v>78</v>
      </c>
      <c r="K15" s="397">
        <f t="shared" si="2"/>
        <v>81.5</v>
      </c>
      <c r="L15" s="50">
        <v>81</v>
      </c>
      <c r="M15" s="50">
        <v>89</v>
      </c>
      <c r="N15" s="397">
        <f t="shared" si="3"/>
        <v>85</v>
      </c>
      <c r="O15" s="50">
        <v>82</v>
      </c>
      <c r="P15" s="50">
        <v>76</v>
      </c>
      <c r="Q15" s="397">
        <f t="shared" si="4"/>
        <v>79</v>
      </c>
      <c r="R15" s="50">
        <v>84</v>
      </c>
      <c r="S15" s="50">
        <v>80</v>
      </c>
      <c r="T15" s="397">
        <f t="shared" si="5"/>
        <v>82</v>
      </c>
      <c r="U15" s="50">
        <v>91</v>
      </c>
      <c r="V15" s="50">
        <v>81</v>
      </c>
      <c r="W15" s="397">
        <f t="shared" si="6"/>
        <v>86</v>
      </c>
      <c r="X15" s="50">
        <v>86</v>
      </c>
      <c r="Y15" s="50">
        <v>85</v>
      </c>
      <c r="Z15" s="397">
        <f t="shared" si="7"/>
        <v>85.5</v>
      </c>
      <c r="AA15" s="50">
        <v>85</v>
      </c>
      <c r="AB15" s="50">
        <v>79</v>
      </c>
      <c r="AC15" s="397">
        <f t="shared" si="8"/>
        <v>82</v>
      </c>
      <c r="AD15" s="50">
        <v>83</v>
      </c>
      <c r="AE15" s="50">
        <v>71</v>
      </c>
      <c r="AF15" s="397">
        <f t="shared" si="9"/>
        <v>77</v>
      </c>
      <c r="AG15" s="49"/>
      <c r="AH15" s="50"/>
      <c r="AI15" s="397" t="str">
        <f t="shared" si="10"/>
        <v/>
      </c>
      <c r="AJ15" s="50"/>
      <c r="AK15" s="50"/>
      <c r="AL15" s="397" t="str">
        <f t="shared" si="11"/>
        <v/>
      </c>
      <c r="AM15" s="396">
        <f t="shared" si="12"/>
        <v>84.777777777777771</v>
      </c>
      <c r="AN15" s="396">
        <f t="shared" si="12"/>
        <v>80</v>
      </c>
      <c r="AO15" s="396">
        <f t="shared" si="13"/>
        <v>741.5</v>
      </c>
      <c r="AP15" s="396">
        <f t="shared" si="14"/>
        <v>82.388888888888886</v>
      </c>
      <c r="AR15" s="35" t="str">
        <f t="shared" si="0"/>
        <v>Sembunyikan</v>
      </c>
    </row>
    <row r="16" spans="2:49">
      <c r="B16" s="7">
        <v>7</v>
      </c>
      <c r="C16" s="7" t="str">
        <f>'Data Siswa'!C10&amp;""</f>
        <v>2891</v>
      </c>
      <c r="D16" s="11" t="str">
        <f>'Data Siswa'!F10&amp;""</f>
        <v/>
      </c>
      <c r="E16" s="434"/>
      <c r="F16" s="50">
        <v>90</v>
      </c>
      <c r="G16" s="50">
        <v>94</v>
      </c>
      <c r="H16" s="397">
        <f t="shared" si="1"/>
        <v>92</v>
      </c>
      <c r="I16" s="50">
        <v>86</v>
      </c>
      <c r="J16" s="50">
        <v>79</v>
      </c>
      <c r="K16" s="397">
        <f t="shared" si="2"/>
        <v>82.5</v>
      </c>
      <c r="L16" s="50">
        <v>77</v>
      </c>
      <c r="M16" s="50">
        <v>88</v>
      </c>
      <c r="N16" s="397">
        <f t="shared" si="3"/>
        <v>82.5</v>
      </c>
      <c r="O16" s="50">
        <v>77</v>
      </c>
      <c r="P16" s="50">
        <v>76</v>
      </c>
      <c r="Q16" s="397">
        <f t="shared" si="4"/>
        <v>76.5</v>
      </c>
      <c r="R16" s="50">
        <v>78</v>
      </c>
      <c r="S16" s="50">
        <v>77</v>
      </c>
      <c r="T16" s="397">
        <f t="shared" si="5"/>
        <v>77.5</v>
      </c>
      <c r="U16" s="50">
        <v>84</v>
      </c>
      <c r="V16" s="50">
        <v>86</v>
      </c>
      <c r="W16" s="397">
        <f t="shared" si="6"/>
        <v>85</v>
      </c>
      <c r="X16" s="50">
        <v>76</v>
      </c>
      <c r="Y16" s="50">
        <v>80</v>
      </c>
      <c r="Z16" s="397">
        <f t="shared" si="7"/>
        <v>78</v>
      </c>
      <c r="AA16" s="50">
        <v>84</v>
      </c>
      <c r="AB16" s="50">
        <v>80</v>
      </c>
      <c r="AC16" s="397">
        <f t="shared" si="8"/>
        <v>82</v>
      </c>
      <c r="AD16" s="50">
        <v>80</v>
      </c>
      <c r="AE16" s="50">
        <v>78</v>
      </c>
      <c r="AF16" s="397">
        <f t="shared" si="9"/>
        <v>79</v>
      </c>
      <c r="AG16" s="49"/>
      <c r="AH16" s="50"/>
      <c r="AI16" s="397" t="str">
        <f t="shared" si="10"/>
        <v/>
      </c>
      <c r="AJ16" s="50"/>
      <c r="AK16" s="50"/>
      <c r="AL16" s="397" t="str">
        <f t="shared" si="11"/>
        <v/>
      </c>
      <c r="AM16" s="396">
        <f t="shared" si="12"/>
        <v>81.333333333333329</v>
      </c>
      <c r="AN16" s="396">
        <f t="shared" si="12"/>
        <v>82</v>
      </c>
      <c r="AO16" s="396">
        <f t="shared" si="13"/>
        <v>735</v>
      </c>
      <c r="AP16" s="396">
        <f t="shared" si="14"/>
        <v>81.666666666666671</v>
      </c>
      <c r="AR16" s="35" t="str">
        <f t="shared" si="0"/>
        <v>Sembunyikan</v>
      </c>
    </row>
    <row r="17" spans="2:44">
      <c r="B17" s="7">
        <v>8</v>
      </c>
      <c r="C17" s="7" t="str">
        <f>'Data Siswa'!C11&amp;""</f>
        <v>2893</v>
      </c>
      <c r="D17" s="11" t="str">
        <f>'Data Siswa'!F11&amp;""</f>
        <v/>
      </c>
      <c r="E17" s="434"/>
      <c r="F17" s="50">
        <v>87</v>
      </c>
      <c r="G17" s="50">
        <v>80</v>
      </c>
      <c r="H17" s="397">
        <f t="shared" si="1"/>
        <v>83.5</v>
      </c>
      <c r="I17" s="50">
        <v>88</v>
      </c>
      <c r="J17" s="50">
        <v>76</v>
      </c>
      <c r="K17" s="397">
        <f t="shared" si="2"/>
        <v>82</v>
      </c>
      <c r="L17" s="50">
        <v>83</v>
      </c>
      <c r="M17" s="50">
        <v>90</v>
      </c>
      <c r="N17" s="397">
        <f t="shared" si="3"/>
        <v>86.5</v>
      </c>
      <c r="O17" s="50">
        <v>89</v>
      </c>
      <c r="P17" s="50">
        <v>78</v>
      </c>
      <c r="Q17" s="397">
        <f t="shared" si="4"/>
        <v>83.5</v>
      </c>
      <c r="R17" s="50">
        <v>84</v>
      </c>
      <c r="S17" s="50">
        <v>78</v>
      </c>
      <c r="T17" s="397">
        <f t="shared" si="5"/>
        <v>81</v>
      </c>
      <c r="U17" s="50">
        <v>90</v>
      </c>
      <c r="V17" s="50">
        <v>82</v>
      </c>
      <c r="W17" s="397">
        <f t="shared" si="6"/>
        <v>86</v>
      </c>
      <c r="X17" s="50">
        <v>89</v>
      </c>
      <c r="Y17" s="50">
        <v>84</v>
      </c>
      <c r="Z17" s="397">
        <f t="shared" si="7"/>
        <v>86.5</v>
      </c>
      <c r="AA17" s="50">
        <v>90</v>
      </c>
      <c r="AB17" s="50">
        <v>82</v>
      </c>
      <c r="AC17" s="397">
        <f t="shared" si="8"/>
        <v>86</v>
      </c>
      <c r="AD17" s="50">
        <v>91</v>
      </c>
      <c r="AE17" s="50">
        <v>78</v>
      </c>
      <c r="AF17" s="397">
        <f t="shared" si="9"/>
        <v>84.5</v>
      </c>
      <c r="AG17" s="49"/>
      <c r="AH17" s="50"/>
      <c r="AI17" s="397" t="str">
        <f t="shared" si="10"/>
        <v/>
      </c>
      <c r="AJ17" s="50"/>
      <c r="AK17" s="50"/>
      <c r="AL17" s="397" t="str">
        <f t="shared" si="11"/>
        <v/>
      </c>
      <c r="AM17" s="396">
        <f t="shared" si="12"/>
        <v>87.888888888888886</v>
      </c>
      <c r="AN17" s="396">
        <f t="shared" si="12"/>
        <v>80.888888888888886</v>
      </c>
      <c r="AO17" s="396">
        <f t="shared" si="13"/>
        <v>759.5</v>
      </c>
      <c r="AP17" s="396">
        <f t="shared" si="14"/>
        <v>84.388888888888886</v>
      </c>
      <c r="AR17" s="35" t="str">
        <f t="shared" si="0"/>
        <v>Sembunyikan</v>
      </c>
    </row>
    <row r="18" spans="2:44">
      <c r="B18" s="7">
        <v>9</v>
      </c>
      <c r="C18" s="7" t="str">
        <f>'Data Siswa'!C12&amp;""</f>
        <v>2892</v>
      </c>
      <c r="D18" s="11" t="str">
        <f>'Data Siswa'!F12&amp;""</f>
        <v/>
      </c>
      <c r="E18" s="434"/>
      <c r="F18" s="50">
        <v>96</v>
      </c>
      <c r="G18" s="50">
        <v>92</v>
      </c>
      <c r="H18" s="397">
        <f t="shared" si="1"/>
        <v>94</v>
      </c>
      <c r="I18" s="50">
        <v>87</v>
      </c>
      <c r="J18" s="50">
        <v>83</v>
      </c>
      <c r="K18" s="397">
        <f t="shared" si="2"/>
        <v>85</v>
      </c>
      <c r="L18" s="50">
        <v>91</v>
      </c>
      <c r="M18" s="50">
        <v>87</v>
      </c>
      <c r="N18" s="397">
        <f t="shared" si="3"/>
        <v>89</v>
      </c>
      <c r="O18" s="50">
        <v>85</v>
      </c>
      <c r="P18" s="50">
        <v>82</v>
      </c>
      <c r="Q18" s="397">
        <f t="shared" si="4"/>
        <v>83.5</v>
      </c>
      <c r="R18" s="50">
        <v>84</v>
      </c>
      <c r="S18" s="50">
        <v>83</v>
      </c>
      <c r="T18" s="397">
        <f t="shared" si="5"/>
        <v>83.5</v>
      </c>
      <c r="U18" s="50">
        <v>91</v>
      </c>
      <c r="V18" s="50">
        <v>89</v>
      </c>
      <c r="W18" s="397">
        <f t="shared" si="6"/>
        <v>90</v>
      </c>
      <c r="X18" s="50">
        <v>93</v>
      </c>
      <c r="Y18" s="50">
        <v>89</v>
      </c>
      <c r="Z18" s="397">
        <f t="shared" si="7"/>
        <v>91</v>
      </c>
      <c r="AA18" s="50">
        <v>91</v>
      </c>
      <c r="AB18" s="50">
        <v>86</v>
      </c>
      <c r="AC18" s="397">
        <f t="shared" si="8"/>
        <v>88.5</v>
      </c>
      <c r="AD18" s="50">
        <v>80</v>
      </c>
      <c r="AE18" s="50">
        <v>79</v>
      </c>
      <c r="AF18" s="397">
        <f t="shared" si="9"/>
        <v>79.5</v>
      </c>
      <c r="AG18" s="49"/>
      <c r="AH18" s="50"/>
      <c r="AI18" s="397" t="str">
        <f t="shared" si="10"/>
        <v/>
      </c>
      <c r="AJ18" s="50"/>
      <c r="AK18" s="50"/>
      <c r="AL18" s="397" t="str">
        <f t="shared" si="11"/>
        <v/>
      </c>
      <c r="AM18" s="396">
        <f t="shared" si="12"/>
        <v>88.666666666666671</v>
      </c>
      <c r="AN18" s="396">
        <f t="shared" si="12"/>
        <v>85.555555555555557</v>
      </c>
      <c r="AO18" s="396">
        <f t="shared" si="13"/>
        <v>784</v>
      </c>
      <c r="AP18" s="396">
        <f t="shared" si="14"/>
        <v>87.111111111111114</v>
      </c>
      <c r="AR18" s="35" t="str">
        <f t="shared" si="0"/>
        <v>Sembunyikan</v>
      </c>
    </row>
    <row r="19" spans="2:44">
      <c r="B19" s="7">
        <v>10</v>
      </c>
      <c r="C19" s="7" t="str">
        <f>'Data Siswa'!C13&amp;""</f>
        <v>2894</v>
      </c>
      <c r="D19" s="11" t="str">
        <f>'Data Siswa'!F13&amp;""</f>
        <v/>
      </c>
      <c r="E19" s="434"/>
      <c r="F19" s="50">
        <v>95</v>
      </c>
      <c r="G19" s="50">
        <v>85</v>
      </c>
      <c r="H19" s="397">
        <f t="shared" si="1"/>
        <v>90</v>
      </c>
      <c r="I19" s="50">
        <v>85</v>
      </c>
      <c r="J19" s="50">
        <v>82</v>
      </c>
      <c r="K19" s="397">
        <f t="shared" si="2"/>
        <v>83.5</v>
      </c>
      <c r="L19" s="50">
        <v>89</v>
      </c>
      <c r="M19" s="50">
        <v>92</v>
      </c>
      <c r="N19" s="397">
        <f t="shared" si="3"/>
        <v>90.5</v>
      </c>
      <c r="O19" s="50">
        <v>86</v>
      </c>
      <c r="P19" s="50">
        <v>83</v>
      </c>
      <c r="Q19" s="397">
        <f t="shared" si="4"/>
        <v>84.5</v>
      </c>
      <c r="R19" s="50">
        <v>88</v>
      </c>
      <c r="S19" s="50">
        <v>85</v>
      </c>
      <c r="T19" s="397">
        <f t="shared" si="5"/>
        <v>86.5</v>
      </c>
      <c r="U19" s="50">
        <v>87</v>
      </c>
      <c r="V19" s="50">
        <v>85</v>
      </c>
      <c r="W19" s="397">
        <f t="shared" si="6"/>
        <v>86</v>
      </c>
      <c r="X19" s="50">
        <v>84</v>
      </c>
      <c r="Y19" s="50">
        <v>84</v>
      </c>
      <c r="Z19" s="397">
        <f t="shared" si="7"/>
        <v>84</v>
      </c>
      <c r="AA19" s="50">
        <v>93</v>
      </c>
      <c r="AB19" s="50">
        <v>89</v>
      </c>
      <c r="AC19" s="397">
        <f t="shared" si="8"/>
        <v>91</v>
      </c>
      <c r="AD19" s="50">
        <v>92</v>
      </c>
      <c r="AE19" s="50">
        <v>83</v>
      </c>
      <c r="AF19" s="397">
        <f t="shared" si="9"/>
        <v>87.5</v>
      </c>
      <c r="AG19" s="49"/>
      <c r="AH19" s="50"/>
      <c r="AI19" s="397" t="str">
        <f t="shared" si="10"/>
        <v/>
      </c>
      <c r="AJ19" s="50"/>
      <c r="AK19" s="50"/>
      <c r="AL19" s="397" t="str">
        <f t="shared" si="11"/>
        <v/>
      </c>
      <c r="AM19" s="396">
        <f t="shared" si="12"/>
        <v>88.777777777777771</v>
      </c>
      <c r="AN19" s="396">
        <f t="shared" si="12"/>
        <v>85.333333333333329</v>
      </c>
      <c r="AO19" s="396">
        <f t="shared" si="13"/>
        <v>783.5</v>
      </c>
      <c r="AP19" s="396">
        <f t="shared" si="14"/>
        <v>87.055555555555557</v>
      </c>
      <c r="AR19" s="35" t="str">
        <f t="shared" si="0"/>
        <v>Sembunyikan</v>
      </c>
    </row>
    <row r="20" spans="2:44">
      <c r="B20" s="7">
        <v>11</v>
      </c>
      <c r="C20" s="7" t="str">
        <f>'Data Siswa'!C14&amp;""</f>
        <v>2895</v>
      </c>
      <c r="D20" s="11" t="str">
        <f>'Data Siswa'!F14&amp;""</f>
        <v/>
      </c>
      <c r="E20" s="434"/>
      <c r="F20" s="50">
        <v>86</v>
      </c>
      <c r="G20" s="50">
        <v>78</v>
      </c>
      <c r="H20" s="397">
        <f t="shared" si="1"/>
        <v>82</v>
      </c>
      <c r="I20" s="50">
        <v>85</v>
      </c>
      <c r="J20" s="50">
        <v>78</v>
      </c>
      <c r="K20" s="397">
        <f t="shared" si="2"/>
        <v>81.5</v>
      </c>
      <c r="L20" s="50">
        <v>90</v>
      </c>
      <c r="M20" s="50">
        <v>86</v>
      </c>
      <c r="N20" s="397">
        <f t="shared" si="3"/>
        <v>88</v>
      </c>
      <c r="O20" s="50">
        <v>85</v>
      </c>
      <c r="P20" s="50">
        <v>78</v>
      </c>
      <c r="Q20" s="397">
        <f t="shared" si="4"/>
        <v>81.5</v>
      </c>
      <c r="R20" s="50">
        <v>88</v>
      </c>
      <c r="S20" s="50">
        <v>82</v>
      </c>
      <c r="T20" s="397">
        <f t="shared" si="5"/>
        <v>85</v>
      </c>
      <c r="U20" s="50">
        <v>90</v>
      </c>
      <c r="V20" s="50">
        <v>83</v>
      </c>
      <c r="W20" s="397">
        <f t="shared" si="6"/>
        <v>86.5</v>
      </c>
      <c r="X20" s="50">
        <v>74</v>
      </c>
      <c r="Y20" s="50">
        <v>78</v>
      </c>
      <c r="Z20" s="397">
        <f t="shared" si="7"/>
        <v>76</v>
      </c>
      <c r="AA20" s="50">
        <v>86</v>
      </c>
      <c r="AB20" s="50">
        <v>78</v>
      </c>
      <c r="AC20" s="397">
        <f t="shared" si="8"/>
        <v>82</v>
      </c>
      <c r="AD20" s="50">
        <v>86</v>
      </c>
      <c r="AE20" s="50">
        <v>76</v>
      </c>
      <c r="AF20" s="397">
        <f t="shared" si="9"/>
        <v>81</v>
      </c>
      <c r="AG20" s="49"/>
      <c r="AH20" s="50"/>
      <c r="AI20" s="397" t="str">
        <f t="shared" si="10"/>
        <v/>
      </c>
      <c r="AJ20" s="50"/>
      <c r="AK20" s="50"/>
      <c r="AL20" s="397" t="str">
        <f t="shared" si="11"/>
        <v/>
      </c>
      <c r="AM20" s="396">
        <f t="shared" si="12"/>
        <v>85.555555555555557</v>
      </c>
      <c r="AN20" s="396">
        <f t="shared" si="12"/>
        <v>79.666666666666671</v>
      </c>
      <c r="AO20" s="396">
        <f t="shared" si="13"/>
        <v>743.5</v>
      </c>
      <c r="AP20" s="396">
        <f t="shared" si="14"/>
        <v>82.611111111111114</v>
      </c>
      <c r="AR20" s="35" t="str">
        <f t="shared" si="0"/>
        <v>Sembunyikan</v>
      </c>
    </row>
    <row r="21" spans="2:44">
      <c r="B21" s="7">
        <v>12</v>
      </c>
      <c r="C21" s="7" t="str">
        <f>'Data Siswa'!C15&amp;""</f>
        <v>2896</v>
      </c>
      <c r="D21" s="11" t="str">
        <f>'Data Siswa'!F15&amp;""</f>
        <v/>
      </c>
      <c r="E21" s="434"/>
      <c r="F21" s="50">
        <v>97</v>
      </c>
      <c r="G21" s="50">
        <v>93</v>
      </c>
      <c r="H21" s="397">
        <f t="shared" si="1"/>
        <v>95</v>
      </c>
      <c r="I21" s="50">
        <v>90</v>
      </c>
      <c r="J21" s="50">
        <v>84</v>
      </c>
      <c r="K21" s="397">
        <f t="shared" si="2"/>
        <v>87</v>
      </c>
      <c r="L21" s="50">
        <v>92</v>
      </c>
      <c r="M21" s="50">
        <v>93</v>
      </c>
      <c r="N21" s="397">
        <f t="shared" si="3"/>
        <v>92.5</v>
      </c>
      <c r="O21" s="50">
        <v>92</v>
      </c>
      <c r="P21" s="50">
        <v>86</v>
      </c>
      <c r="Q21" s="397">
        <f t="shared" si="4"/>
        <v>89</v>
      </c>
      <c r="R21" s="50">
        <v>84</v>
      </c>
      <c r="S21" s="50">
        <v>83</v>
      </c>
      <c r="T21" s="397">
        <f t="shared" si="5"/>
        <v>83.5</v>
      </c>
      <c r="U21" s="50">
        <v>90</v>
      </c>
      <c r="V21" s="50">
        <v>87</v>
      </c>
      <c r="W21" s="397">
        <f t="shared" si="6"/>
        <v>88.5</v>
      </c>
      <c r="X21" s="50">
        <v>95</v>
      </c>
      <c r="Y21" s="50">
        <v>88</v>
      </c>
      <c r="Z21" s="397">
        <f t="shared" si="7"/>
        <v>91.5</v>
      </c>
      <c r="AA21" s="50">
        <v>94</v>
      </c>
      <c r="AB21" s="50">
        <v>88</v>
      </c>
      <c r="AC21" s="397">
        <f t="shared" si="8"/>
        <v>91</v>
      </c>
      <c r="AD21" s="50">
        <v>94</v>
      </c>
      <c r="AE21" s="50">
        <v>87</v>
      </c>
      <c r="AF21" s="397">
        <f t="shared" si="9"/>
        <v>90.5</v>
      </c>
      <c r="AG21" s="49"/>
      <c r="AH21" s="50"/>
      <c r="AI21" s="397" t="str">
        <f t="shared" si="10"/>
        <v/>
      </c>
      <c r="AJ21" s="50"/>
      <c r="AK21" s="50"/>
      <c r="AL21" s="397" t="str">
        <f t="shared" si="11"/>
        <v/>
      </c>
      <c r="AM21" s="396">
        <f t="shared" si="12"/>
        <v>92</v>
      </c>
      <c r="AN21" s="396">
        <f t="shared" si="12"/>
        <v>87.666666666666671</v>
      </c>
      <c r="AO21" s="396">
        <f t="shared" si="13"/>
        <v>808.5</v>
      </c>
      <c r="AP21" s="396">
        <f t="shared" si="14"/>
        <v>89.833333333333329</v>
      </c>
      <c r="AR21" s="35" t="str">
        <f t="shared" si="0"/>
        <v>Sembunyikan</v>
      </c>
    </row>
    <row r="22" spans="2:44">
      <c r="B22" s="7">
        <v>13</v>
      </c>
      <c r="C22" s="7" t="str">
        <f>'Data Siswa'!C16&amp;""</f>
        <v>2897</v>
      </c>
      <c r="D22" s="11" t="str">
        <f>'Data Siswa'!F16&amp;""</f>
        <v/>
      </c>
      <c r="E22" s="434"/>
      <c r="F22" s="50">
        <v>83</v>
      </c>
      <c r="G22" s="50">
        <v>83</v>
      </c>
      <c r="H22" s="397">
        <f t="shared" si="1"/>
        <v>83</v>
      </c>
      <c r="I22" s="50">
        <v>83</v>
      </c>
      <c r="J22" s="50">
        <v>75</v>
      </c>
      <c r="K22" s="397">
        <f t="shared" si="2"/>
        <v>79</v>
      </c>
      <c r="L22" s="50">
        <v>81</v>
      </c>
      <c r="M22" s="50">
        <v>89</v>
      </c>
      <c r="N22" s="397">
        <f t="shared" si="3"/>
        <v>85</v>
      </c>
      <c r="O22" s="50">
        <v>82</v>
      </c>
      <c r="P22" s="50">
        <v>73</v>
      </c>
      <c r="Q22" s="397">
        <f t="shared" si="4"/>
        <v>77.5</v>
      </c>
      <c r="R22" s="50">
        <v>81</v>
      </c>
      <c r="S22" s="50">
        <v>76</v>
      </c>
      <c r="T22" s="397">
        <f t="shared" si="5"/>
        <v>78.5</v>
      </c>
      <c r="U22" s="50">
        <v>80</v>
      </c>
      <c r="V22" s="50">
        <v>80</v>
      </c>
      <c r="W22" s="397">
        <f t="shared" si="6"/>
        <v>80</v>
      </c>
      <c r="X22" s="50">
        <v>91</v>
      </c>
      <c r="Y22" s="50">
        <v>87</v>
      </c>
      <c r="Z22" s="397">
        <f t="shared" si="7"/>
        <v>89</v>
      </c>
      <c r="AA22" s="50">
        <v>86</v>
      </c>
      <c r="AB22" s="50">
        <v>82</v>
      </c>
      <c r="AC22" s="397">
        <f t="shared" si="8"/>
        <v>84</v>
      </c>
      <c r="AD22" s="50">
        <v>84</v>
      </c>
      <c r="AE22" s="50">
        <v>74</v>
      </c>
      <c r="AF22" s="397">
        <f t="shared" si="9"/>
        <v>79</v>
      </c>
      <c r="AG22" s="49"/>
      <c r="AH22" s="50"/>
      <c r="AI22" s="397" t="str">
        <f t="shared" si="10"/>
        <v/>
      </c>
      <c r="AJ22" s="50"/>
      <c r="AK22" s="50"/>
      <c r="AL22" s="397" t="str">
        <f t="shared" si="11"/>
        <v/>
      </c>
      <c r="AM22" s="396">
        <f t="shared" si="12"/>
        <v>83.444444444444443</v>
      </c>
      <c r="AN22" s="396">
        <f t="shared" si="12"/>
        <v>79.888888888888886</v>
      </c>
      <c r="AO22" s="396">
        <f t="shared" si="13"/>
        <v>735</v>
      </c>
      <c r="AP22" s="396">
        <f t="shared" si="14"/>
        <v>81.666666666666671</v>
      </c>
      <c r="AR22" s="35" t="str">
        <f t="shared" si="0"/>
        <v>Sembunyikan</v>
      </c>
    </row>
    <row r="23" spans="2:44">
      <c r="B23" s="7">
        <v>14</v>
      </c>
      <c r="C23" s="7" t="str">
        <f>'Data Siswa'!C17&amp;""</f>
        <v>2898</v>
      </c>
      <c r="D23" s="11" t="str">
        <f>'Data Siswa'!F17&amp;""</f>
        <v/>
      </c>
      <c r="E23" s="434"/>
      <c r="F23" s="50">
        <v>93</v>
      </c>
      <c r="G23" s="50">
        <v>83</v>
      </c>
      <c r="H23" s="397">
        <f t="shared" si="1"/>
        <v>88</v>
      </c>
      <c r="I23" s="50">
        <v>88</v>
      </c>
      <c r="J23" s="50">
        <v>79</v>
      </c>
      <c r="K23" s="397">
        <f t="shared" si="2"/>
        <v>83.5</v>
      </c>
      <c r="L23" s="50">
        <v>89</v>
      </c>
      <c r="M23" s="50">
        <v>92</v>
      </c>
      <c r="N23" s="397">
        <f t="shared" si="3"/>
        <v>90.5</v>
      </c>
      <c r="O23" s="50">
        <v>83</v>
      </c>
      <c r="P23" s="50">
        <v>72</v>
      </c>
      <c r="Q23" s="397">
        <f t="shared" si="4"/>
        <v>77.5</v>
      </c>
      <c r="R23" s="50">
        <v>83</v>
      </c>
      <c r="S23" s="50">
        <v>76</v>
      </c>
      <c r="T23" s="397">
        <f t="shared" si="5"/>
        <v>79.5</v>
      </c>
      <c r="U23" s="50">
        <v>89</v>
      </c>
      <c r="V23" s="50">
        <v>82</v>
      </c>
      <c r="W23" s="397">
        <f t="shared" si="6"/>
        <v>85.5</v>
      </c>
      <c r="X23" s="50">
        <v>87</v>
      </c>
      <c r="Y23" s="50">
        <v>84</v>
      </c>
      <c r="Z23" s="397">
        <f t="shared" si="7"/>
        <v>85.5</v>
      </c>
      <c r="AA23" s="50">
        <v>91</v>
      </c>
      <c r="AB23" s="50">
        <v>84</v>
      </c>
      <c r="AC23" s="397">
        <f t="shared" si="8"/>
        <v>87.5</v>
      </c>
      <c r="AD23" s="50">
        <v>89</v>
      </c>
      <c r="AE23" s="50">
        <v>81</v>
      </c>
      <c r="AF23" s="397">
        <f t="shared" si="9"/>
        <v>85</v>
      </c>
      <c r="AG23" s="49"/>
      <c r="AH23" s="50"/>
      <c r="AI23" s="397" t="str">
        <f t="shared" si="10"/>
        <v/>
      </c>
      <c r="AJ23" s="50"/>
      <c r="AK23" s="50"/>
      <c r="AL23" s="397" t="str">
        <f t="shared" si="11"/>
        <v/>
      </c>
      <c r="AM23" s="396">
        <f t="shared" si="12"/>
        <v>88</v>
      </c>
      <c r="AN23" s="396">
        <f t="shared" si="12"/>
        <v>81.444444444444443</v>
      </c>
      <c r="AO23" s="396">
        <f t="shared" si="13"/>
        <v>762.5</v>
      </c>
      <c r="AP23" s="396">
        <f t="shared" si="14"/>
        <v>84.722222222222229</v>
      </c>
      <c r="AR23" s="35" t="str">
        <f t="shared" si="0"/>
        <v>Sembunyikan</v>
      </c>
    </row>
    <row r="24" spans="2:44">
      <c r="B24" s="7">
        <v>15</v>
      </c>
      <c r="C24" s="7" t="str">
        <f>'Data Siswa'!C18&amp;""</f>
        <v>2900</v>
      </c>
      <c r="D24" s="11" t="str">
        <f>'Data Siswa'!F18&amp;""</f>
        <v/>
      </c>
      <c r="E24" s="434"/>
      <c r="F24" s="50">
        <v>89</v>
      </c>
      <c r="G24" s="50">
        <v>80</v>
      </c>
      <c r="H24" s="397">
        <f t="shared" si="1"/>
        <v>84.5</v>
      </c>
      <c r="I24" s="50">
        <v>88</v>
      </c>
      <c r="J24" s="50">
        <v>78</v>
      </c>
      <c r="K24" s="397">
        <f t="shared" si="2"/>
        <v>83</v>
      </c>
      <c r="L24" s="50">
        <v>92</v>
      </c>
      <c r="M24" s="50">
        <v>91</v>
      </c>
      <c r="N24" s="397">
        <f t="shared" si="3"/>
        <v>91.5</v>
      </c>
      <c r="O24" s="50">
        <v>88</v>
      </c>
      <c r="P24" s="50">
        <v>81</v>
      </c>
      <c r="Q24" s="397">
        <f t="shared" si="4"/>
        <v>84.5</v>
      </c>
      <c r="R24" s="50">
        <v>86</v>
      </c>
      <c r="S24" s="50">
        <v>80</v>
      </c>
      <c r="T24" s="397">
        <f t="shared" si="5"/>
        <v>83</v>
      </c>
      <c r="U24" s="50">
        <v>91</v>
      </c>
      <c r="V24" s="50">
        <v>83</v>
      </c>
      <c r="W24" s="397">
        <f t="shared" si="6"/>
        <v>87</v>
      </c>
      <c r="X24" s="50">
        <v>91</v>
      </c>
      <c r="Y24" s="50">
        <v>86</v>
      </c>
      <c r="Z24" s="397">
        <f t="shared" si="7"/>
        <v>88.5</v>
      </c>
      <c r="AA24" s="50">
        <v>92</v>
      </c>
      <c r="AB24" s="50">
        <v>86</v>
      </c>
      <c r="AC24" s="397">
        <f t="shared" si="8"/>
        <v>89</v>
      </c>
      <c r="AD24" s="50">
        <v>89</v>
      </c>
      <c r="AE24" s="50">
        <v>77</v>
      </c>
      <c r="AF24" s="397">
        <f t="shared" si="9"/>
        <v>83</v>
      </c>
      <c r="AG24" s="49"/>
      <c r="AH24" s="50"/>
      <c r="AI24" s="397" t="str">
        <f t="shared" si="10"/>
        <v/>
      </c>
      <c r="AJ24" s="50"/>
      <c r="AK24" s="50"/>
      <c r="AL24" s="397" t="str">
        <f t="shared" si="11"/>
        <v/>
      </c>
      <c r="AM24" s="396">
        <f t="shared" si="12"/>
        <v>89.555555555555557</v>
      </c>
      <c r="AN24" s="396">
        <f t="shared" si="12"/>
        <v>82.444444444444443</v>
      </c>
      <c r="AO24" s="396">
        <f t="shared" si="13"/>
        <v>774</v>
      </c>
      <c r="AP24" s="396">
        <f t="shared" si="14"/>
        <v>86</v>
      </c>
      <c r="AR24" s="35" t="str">
        <f t="shared" si="0"/>
        <v>Sembunyikan</v>
      </c>
    </row>
    <row r="25" spans="2:44">
      <c r="B25" s="7">
        <v>16</v>
      </c>
      <c r="C25" s="7" t="str">
        <f>'Data Siswa'!C19&amp;""</f>
        <v>2899</v>
      </c>
      <c r="D25" s="11" t="str">
        <f>'Data Siswa'!F19&amp;""</f>
        <v/>
      </c>
      <c r="E25" s="434"/>
      <c r="F25" s="50">
        <v>95</v>
      </c>
      <c r="G25" s="50">
        <v>85</v>
      </c>
      <c r="H25" s="397">
        <f t="shared" si="1"/>
        <v>90</v>
      </c>
      <c r="I25" s="50">
        <v>91</v>
      </c>
      <c r="J25" s="50">
        <v>79</v>
      </c>
      <c r="K25" s="397">
        <f t="shared" si="2"/>
        <v>85</v>
      </c>
      <c r="L25" s="50">
        <v>90</v>
      </c>
      <c r="M25" s="50">
        <v>90</v>
      </c>
      <c r="N25" s="397">
        <f t="shared" si="3"/>
        <v>90</v>
      </c>
      <c r="O25" s="50">
        <v>84</v>
      </c>
      <c r="P25" s="50">
        <v>75</v>
      </c>
      <c r="Q25" s="397">
        <f t="shared" si="4"/>
        <v>79.5</v>
      </c>
      <c r="R25" s="50">
        <v>88</v>
      </c>
      <c r="S25" s="50">
        <v>82</v>
      </c>
      <c r="T25" s="397">
        <f t="shared" si="5"/>
        <v>85</v>
      </c>
      <c r="U25" s="50">
        <v>92</v>
      </c>
      <c r="V25" s="50">
        <v>83</v>
      </c>
      <c r="W25" s="397">
        <f t="shared" si="6"/>
        <v>87.5</v>
      </c>
      <c r="X25" s="50">
        <v>93</v>
      </c>
      <c r="Y25" s="50">
        <v>87</v>
      </c>
      <c r="Z25" s="397">
        <f t="shared" si="7"/>
        <v>90</v>
      </c>
      <c r="AA25" s="50">
        <v>88</v>
      </c>
      <c r="AB25" s="50">
        <v>85</v>
      </c>
      <c r="AC25" s="397">
        <f t="shared" si="8"/>
        <v>86.5</v>
      </c>
      <c r="AD25" s="50">
        <v>88</v>
      </c>
      <c r="AE25" s="50">
        <v>85</v>
      </c>
      <c r="AF25" s="397">
        <f t="shared" si="9"/>
        <v>86.5</v>
      </c>
      <c r="AG25" s="49"/>
      <c r="AH25" s="50"/>
      <c r="AI25" s="397" t="str">
        <f t="shared" si="10"/>
        <v/>
      </c>
      <c r="AJ25" s="50"/>
      <c r="AK25" s="50"/>
      <c r="AL25" s="397" t="str">
        <f t="shared" si="11"/>
        <v/>
      </c>
      <c r="AM25" s="396">
        <f t="shared" si="12"/>
        <v>89.888888888888886</v>
      </c>
      <c r="AN25" s="396">
        <f t="shared" si="12"/>
        <v>83.444444444444443</v>
      </c>
      <c r="AO25" s="396">
        <f t="shared" si="13"/>
        <v>780</v>
      </c>
      <c r="AP25" s="396">
        <f t="shared" si="14"/>
        <v>86.666666666666671</v>
      </c>
      <c r="AR25" s="35" t="str">
        <f t="shared" si="0"/>
        <v>Sembunyikan</v>
      </c>
    </row>
    <row r="26" spans="2:44">
      <c r="B26" s="7">
        <v>17</v>
      </c>
      <c r="C26" s="7" t="str">
        <f>'Data Siswa'!C20&amp;""</f>
        <v>2901</v>
      </c>
      <c r="D26" s="11" t="str">
        <f>'Data Siswa'!F20&amp;""</f>
        <v/>
      </c>
      <c r="E26" s="434"/>
      <c r="F26" s="50">
        <v>93</v>
      </c>
      <c r="G26" s="50">
        <v>85</v>
      </c>
      <c r="H26" s="397">
        <f t="shared" si="1"/>
        <v>89</v>
      </c>
      <c r="I26" s="50">
        <v>86</v>
      </c>
      <c r="J26" s="50">
        <v>80</v>
      </c>
      <c r="K26" s="397">
        <f t="shared" si="2"/>
        <v>83</v>
      </c>
      <c r="L26" s="50">
        <v>90</v>
      </c>
      <c r="M26" s="50">
        <v>91</v>
      </c>
      <c r="N26" s="397">
        <f t="shared" si="3"/>
        <v>90.5</v>
      </c>
      <c r="O26" s="50">
        <v>90</v>
      </c>
      <c r="P26" s="50">
        <v>84</v>
      </c>
      <c r="Q26" s="397">
        <f t="shared" si="4"/>
        <v>87</v>
      </c>
      <c r="R26" s="50">
        <v>79</v>
      </c>
      <c r="S26" s="50">
        <v>76</v>
      </c>
      <c r="T26" s="397">
        <f t="shared" si="5"/>
        <v>77.5</v>
      </c>
      <c r="U26" s="50">
        <v>84</v>
      </c>
      <c r="V26" s="50">
        <v>82</v>
      </c>
      <c r="W26" s="397">
        <f t="shared" si="6"/>
        <v>83</v>
      </c>
      <c r="X26" s="50">
        <v>92</v>
      </c>
      <c r="Y26" s="50">
        <v>86</v>
      </c>
      <c r="Z26" s="397">
        <f t="shared" si="7"/>
        <v>89</v>
      </c>
      <c r="AA26" s="50">
        <v>85</v>
      </c>
      <c r="AB26" s="50">
        <v>79</v>
      </c>
      <c r="AC26" s="397">
        <f t="shared" si="8"/>
        <v>82</v>
      </c>
      <c r="AD26" s="50">
        <v>93</v>
      </c>
      <c r="AE26" s="50">
        <v>83</v>
      </c>
      <c r="AF26" s="397">
        <f t="shared" si="9"/>
        <v>88</v>
      </c>
      <c r="AG26" s="49"/>
      <c r="AH26" s="50"/>
      <c r="AI26" s="397" t="str">
        <f t="shared" si="10"/>
        <v/>
      </c>
      <c r="AJ26" s="50"/>
      <c r="AK26" s="50"/>
      <c r="AL26" s="397" t="str">
        <f t="shared" si="11"/>
        <v/>
      </c>
      <c r="AM26" s="396">
        <f t="shared" si="12"/>
        <v>88</v>
      </c>
      <c r="AN26" s="396">
        <f t="shared" si="12"/>
        <v>82.888888888888886</v>
      </c>
      <c r="AO26" s="396">
        <f t="shared" si="13"/>
        <v>769</v>
      </c>
      <c r="AP26" s="396">
        <f t="shared" si="14"/>
        <v>85.444444444444443</v>
      </c>
      <c r="AR26" s="35" t="str">
        <f t="shared" si="0"/>
        <v>Sembunyikan</v>
      </c>
    </row>
    <row r="27" spans="2:44">
      <c r="B27" s="7">
        <v>18</v>
      </c>
      <c r="C27" s="7" t="str">
        <f>'Data Siswa'!C21&amp;""</f>
        <v>2902</v>
      </c>
      <c r="D27" s="11" t="str">
        <f>'Data Siswa'!F21&amp;""</f>
        <v/>
      </c>
      <c r="E27" s="434"/>
      <c r="F27" s="50">
        <v>95</v>
      </c>
      <c r="G27" s="50">
        <v>95</v>
      </c>
      <c r="H27" s="397">
        <f t="shared" si="1"/>
        <v>95</v>
      </c>
      <c r="I27" s="50">
        <v>88</v>
      </c>
      <c r="J27" s="50">
        <v>82</v>
      </c>
      <c r="K27" s="397">
        <f t="shared" si="2"/>
        <v>85</v>
      </c>
      <c r="L27" s="50">
        <v>91</v>
      </c>
      <c r="M27" s="50">
        <v>92</v>
      </c>
      <c r="N27" s="397">
        <f t="shared" si="3"/>
        <v>91.5</v>
      </c>
      <c r="O27" s="50">
        <v>93</v>
      </c>
      <c r="P27" s="50">
        <v>90</v>
      </c>
      <c r="Q27" s="397">
        <f t="shared" si="4"/>
        <v>91.5</v>
      </c>
      <c r="R27" s="50">
        <v>90</v>
      </c>
      <c r="S27" s="50">
        <v>82</v>
      </c>
      <c r="T27" s="397">
        <f t="shared" si="5"/>
        <v>86</v>
      </c>
      <c r="U27" s="50">
        <v>92</v>
      </c>
      <c r="V27" s="50">
        <v>85</v>
      </c>
      <c r="W27" s="397">
        <f t="shared" si="6"/>
        <v>88.5</v>
      </c>
      <c r="X27" s="50">
        <v>88</v>
      </c>
      <c r="Y27" s="50">
        <v>88</v>
      </c>
      <c r="Z27" s="397">
        <f t="shared" si="7"/>
        <v>88</v>
      </c>
      <c r="AA27" s="50">
        <v>92</v>
      </c>
      <c r="AB27" s="50">
        <v>90</v>
      </c>
      <c r="AC27" s="397">
        <f t="shared" si="8"/>
        <v>91</v>
      </c>
      <c r="AD27" s="50">
        <v>93</v>
      </c>
      <c r="AE27" s="50">
        <v>85</v>
      </c>
      <c r="AF27" s="397">
        <f t="shared" si="9"/>
        <v>89</v>
      </c>
      <c r="AG27" s="49"/>
      <c r="AH27" s="50"/>
      <c r="AI27" s="397" t="str">
        <f t="shared" si="10"/>
        <v/>
      </c>
      <c r="AJ27" s="50"/>
      <c r="AK27" s="50"/>
      <c r="AL27" s="397" t="str">
        <f t="shared" si="11"/>
        <v/>
      </c>
      <c r="AM27" s="396">
        <f t="shared" si="12"/>
        <v>91.333333333333329</v>
      </c>
      <c r="AN27" s="396">
        <f t="shared" si="12"/>
        <v>87.666666666666671</v>
      </c>
      <c r="AO27" s="396">
        <f t="shared" si="13"/>
        <v>805.5</v>
      </c>
      <c r="AP27" s="396">
        <f t="shared" si="14"/>
        <v>89.5</v>
      </c>
      <c r="AR27" s="35" t="str">
        <f t="shared" si="0"/>
        <v>Sembunyikan</v>
      </c>
    </row>
    <row r="28" spans="2:44">
      <c r="B28" s="7">
        <v>19</v>
      </c>
      <c r="C28" s="7" t="str">
        <f>'Data Siswa'!C22&amp;""</f>
        <v>2904</v>
      </c>
      <c r="D28" s="11" t="str">
        <f>'Data Siswa'!F22&amp;""</f>
        <v/>
      </c>
      <c r="E28" s="434"/>
      <c r="F28" s="50">
        <v>85</v>
      </c>
      <c r="G28" s="50">
        <v>93</v>
      </c>
      <c r="H28" s="397">
        <f t="shared" si="1"/>
        <v>89</v>
      </c>
      <c r="I28" s="50">
        <v>86</v>
      </c>
      <c r="J28" s="50">
        <v>79</v>
      </c>
      <c r="K28" s="397">
        <f t="shared" si="2"/>
        <v>82.5</v>
      </c>
      <c r="L28" s="50">
        <v>82</v>
      </c>
      <c r="M28" s="50">
        <v>89</v>
      </c>
      <c r="N28" s="397">
        <f t="shared" si="3"/>
        <v>85.5</v>
      </c>
      <c r="O28" s="50">
        <v>90</v>
      </c>
      <c r="P28" s="50">
        <v>83</v>
      </c>
      <c r="Q28" s="397">
        <f t="shared" si="4"/>
        <v>86.5</v>
      </c>
      <c r="R28" s="50">
        <v>88</v>
      </c>
      <c r="S28" s="50">
        <v>84</v>
      </c>
      <c r="T28" s="397">
        <f t="shared" si="5"/>
        <v>86</v>
      </c>
      <c r="U28" s="50">
        <v>87</v>
      </c>
      <c r="V28" s="50">
        <v>85</v>
      </c>
      <c r="W28" s="397">
        <f t="shared" si="6"/>
        <v>86</v>
      </c>
      <c r="X28" s="50">
        <v>82</v>
      </c>
      <c r="Y28" s="50">
        <v>84</v>
      </c>
      <c r="Z28" s="397">
        <f t="shared" si="7"/>
        <v>83</v>
      </c>
      <c r="AA28" s="50">
        <v>87</v>
      </c>
      <c r="AB28" s="50">
        <v>83</v>
      </c>
      <c r="AC28" s="397">
        <f t="shared" si="8"/>
        <v>85</v>
      </c>
      <c r="AD28" s="50">
        <v>76</v>
      </c>
      <c r="AE28" s="50">
        <v>72</v>
      </c>
      <c r="AF28" s="397">
        <f t="shared" si="9"/>
        <v>74</v>
      </c>
      <c r="AG28" s="49"/>
      <c r="AH28" s="50"/>
      <c r="AI28" s="397" t="str">
        <f t="shared" si="10"/>
        <v/>
      </c>
      <c r="AJ28" s="50"/>
      <c r="AK28" s="50"/>
      <c r="AL28" s="397" t="str">
        <f t="shared" si="11"/>
        <v/>
      </c>
      <c r="AM28" s="396">
        <f t="shared" si="12"/>
        <v>84.777777777777771</v>
      </c>
      <c r="AN28" s="396">
        <f t="shared" si="12"/>
        <v>83.555555555555557</v>
      </c>
      <c r="AO28" s="396">
        <f t="shared" si="13"/>
        <v>757.5</v>
      </c>
      <c r="AP28" s="396">
        <f t="shared" si="14"/>
        <v>84.166666666666671</v>
      </c>
      <c r="AR28" s="35" t="str">
        <f t="shared" si="0"/>
        <v>Sembunyikan</v>
      </c>
    </row>
    <row r="29" spans="2:44">
      <c r="B29" s="7">
        <v>20</v>
      </c>
      <c r="C29" s="7" t="str">
        <f>'Data Siswa'!C23&amp;""</f>
        <v>1111</v>
      </c>
      <c r="D29" s="11" t="str">
        <f>'Data Siswa'!F23&amp;""</f>
        <v/>
      </c>
      <c r="E29" s="434"/>
      <c r="F29" s="50">
        <v>91</v>
      </c>
      <c r="G29" s="50">
        <v>85</v>
      </c>
      <c r="H29" s="397">
        <f t="shared" si="1"/>
        <v>88</v>
      </c>
      <c r="I29" s="50">
        <v>84</v>
      </c>
      <c r="J29" s="50">
        <v>85</v>
      </c>
      <c r="K29" s="397">
        <f t="shared" si="2"/>
        <v>84.5</v>
      </c>
      <c r="L29" s="50">
        <v>86</v>
      </c>
      <c r="M29" s="50">
        <v>86</v>
      </c>
      <c r="N29" s="397">
        <f t="shared" si="3"/>
        <v>86</v>
      </c>
      <c r="O29" s="50">
        <v>84</v>
      </c>
      <c r="P29" s="50">
        <v>85</v>
      </c>
      <c r="Q29" s="397">
        <f t="shared" si="4"/>
        <v>84.5</v>
      </c>
      <c r="R29" s="50">
        <v>83</v>
      </c>
      <c r="S29" s="50">
        <v>85</v>
      </c>
      <c r="T29" s="397">
        <f t="shared" si="5"/>
        <v>84</v>
      </c>
      <c r="U29" s="50">
        <v>82</v>
      </c>
      <c r="V29" s="50">
        <v>83</v>
      </c>
      <c r="W29" s="397">
        <f t="shared" si="6"/>
        <v>82.5</v>
      </c>
      <c r="X29" s="50">
        <v>82</v>
      </c>
      <c r="Y29" s="50">
        <v>83</v>
      </c>
      <c r="Z29" s="397">
        <f t="shared" si="7"/>
        <v>82.5</v>
      </c>
      <c r="AA29" s="50">
        <v>86</v>
      </c>
      <c r="AB29" s="50">
        <v>89</v>
      </c>
      <c r="AC29" s="397">
        <f t="shared" si="8"/>
        <v>87.5</v>
      </c>
      <c r="AD29" s="50">
        <v>88</v>
      </c>
      <c r="AE29" s="50">
        <v>85</v>
      </c>
      <c r="AF29" s="397">
        <f t="shared" si="9"/>
        <v>86.5</v>
      </c>
      <c r="AG29" s="49"/>
      <c r="AH29" s="50"/>
      <c r="AI29" s="397" t="str">
        <f t="shared" si="10"/>
        <v/>
      </c>
      <c r="AJ29" s="50"/>
      <c r="AK29" s="50"/>
      <c r="AL29" s="397" t="str">
        <f t="shared" si="11"/>
        <v/>
      </c>
      <c r="AM29" s="396">
        <f t="shared" si="12"/>
        <v>85.111111111111114</v>
      </c>
      <c r="AN29" s="396">
        <f t="shared" si="12"/>
        <v>85.111111111111114</v>
      </c>
      <c r="AO29" s="396">
        <f t="shared" si="13"/>
        <v>766</v>
      </c>
      <c r="AP29" s="396">
        <f t="shared" si="14"/>
        <v>85.111111111111114</v>
      </c>
      <c r="AR29" s="35" t="str">
        <f t="shared" si="0"/>
        <v>Sembunyikan</v>
      </c>
    </row>
    <row r="30" spans="2:44">
      <c r="B30" s="7">
        <v>21</v>
      </c>
      <c r="C30" s="7" t="str">
        <f>'Data Siswa'!C24&amp;""</f>
        <v>2906</v>
      </c>
      <c r="D30" s="11" t="str">
        <f>'Data Siswa'!F24&amp;""</f>
        <v/>
      </c>
      <c r="E30" s="434"/>
      <c r="F30" s="50">
        <v>78</v>
      </c>
      <c r="G30" s="50">
        <v>82</v>
      </c>
      <c r="H30" s="397">
        <f t="shared" si="1"/>
        <v>80</v>
      </c>
      <c r="I30" s="50">
        <v>79</v>
      </c>
      <c r="J30" s="50">
        <v>74</v>
      </c>
      <c r="K30" s="397">
        <f t="shared" si="2"/>
        <v>76.5</v>
      </c>
      <c r="L30" s="50">
        <v>77</v>
      </c>
      <c r="M30" s="50">
        <v>83</v>
      </c>
      <c r="N30" s="397">
        <f t="shared" si="3"/>
        <v>80</v>
      </c>
      <c r="O30" s="50">
        <v>67</v>
      </c>
      <c r="P30" s="50">
        <v>67</v>
      </c>
      <c r="Q30" s="397">
        <f t="shared" si="4"/>
        <v>67</v>
      </c>
      <c r="R30" s="50">
        <v>78</v>
      </c>
      <c r="S30" s="50">
        <v>74</v>
      </c>
      <c r="T30" s="397">
        <f t="shared" si="5"/>
        <v>76</v>
      </c>
      <c r="U30" s="50">
        <v>79</v>
      </c>
      <c r="V30" s="50">
        <v>81</v>
      </c>
      <c r="W30" s="397">
        <f t="shared" si="6"/>
        <v>80</v>
      </c>
      <c r="X30" s="50">
        <v>73</v>
      </c>
      <c r="Y30" s="50">
        <v>75</v>
      </c>
      <c r="Z30" s="397">
        <f t="shared" si="7"/>
        <v>74</v>
      </c>
      <c r="AA30" s="50">
        <v>83</v>
      </c>
      <c r="AB30" s="50">
        <v>76</v>
      </c>
      <c r="AC30" s="397">
        <f t="shared" si="8"/>
        <v>79.5</v>
      </c>
      <c r="AD30" s="50">
        <v>75</v>
      </c>
      <c r="AE30" s="50">
        <v>71</v>
      </c>
      <c r="AF30" s="397">
        <f t="shared" si="9"/>
        <v>73</v>
      </c>
      <c r="AG30" s="49"/>
      <c r="AH30" s="50"/>
      <c r="AI30" s="397" t="str">
        <f t="shared" si="10"/>
        <v/>
      </c>
      <c r="AJ30" s="50"/>
      <c r="AK30" s="50"/>
      <c r="AL30" s="397" t="str">
        <f t="shared" si="11"/>
        <v/>
      </c>
      <c r="AM30" s="396">
        <f t="shared" si="12"/>
        <v>76.555555555555557</v>
      </c>
      <c r="AN30" s="396">
        <f t="shared" si="12"/>
        <v>75.888888888888886</v>
      </c>
      <c r="AO30" s="396">
        <f t="shared" si="13"/>
        <v>686</v>
      </c>
      <c r="AP30" s="396">
        <f t="shared" si="14"/>
        <v>76.222222222222229</v>
      </c>
      <c r="AR30" s="35" t="str">
        <f t="shared" si="0"/>
        <v>Sembunyikan</v>
      </c>
    </row>
    <row r="31" spans="2:44">
      <c r="B31" s="7">
        <v>22</v>
      </c>
      <c r="C31" s="7" t="str">
        <f>'Data Siswa'!C25&amp;""</f>
        <v/>
      </c>
      <c r="D31" s="11" t="str">
        <f>'Data Siswa'!F25&amp;""</f>
        <v/>
      </c>
      <c r="E31" s="434"/>
      <c r="F31" s="50"/>
      <c r="G31" s="50"/>
      <c r="H31" s="397" t="str">
        <f t="shared" si="1"/>
        <v/>
      </c>
      <c r="I31" s="50"/>
      <c r="J31" s="50"/>
      <c r="K31" s="397" t="str">
        <f t="shared" si="2"/>
        <v/>
      </c>
      <c r="L31" s="50"/>
      <c r="M31" s="50"/>
      <c r="N31" s="397" t="str">
        <f t="shared" si="3"/>
        <v/>
      </c>
      <c r="O31" s="50"/>
      <c r="P31" s="50"/>
      <c r="Q31" s="397" t="str">
        <f t="shared" si="4"/>
        <v/>
      </c>
      <c r="R31" s="50"/>
      <c r="S31" s="50"/>
      <c r="T31" s="397" t="str">
        <f t="shared" si="5"/>
        <v/>
      </c>
      <c r="U31" s="50"/>
      <c r="V31" s="50"/>
      <c r="W31" s="397" t="str">
        <f t="shared" si="6"/>
        <v/>
      </c>
      <c r="X31" s="50"/>
      <c r="Y31" s="50"/>
      <c r="Z31" s="397" t="str">
        <f t="shared" si="7"/>
        <v/>
      </c>
      <c r="AA31" s="50"/>
      <c r="AB31" s="50"/>
      <c r="AC31" s="397" t="str">
        <f t="shared" si="8"/>
        <v/>
      </c>
      <c r="AD31" s="50"/>
      <c r="AE31" s="50"/>
      <c r="AF31" s="397" t="str">
        <f t="shared" si="9"/>
        <v/>
      </c>
      <c r="AG31" s="49"/>
      <c r="AH31" s="50"/>
      <c r="AI31" s="397" t="str">
        <f t="shared" si="10"/>
        <v/>
      </c>
      <c r="AJ31" s="50"/>
      <c r="AK31" s="50"/>
      <c r="AL31" s="397" t="str">
        <f t="shared" si="11"/>
        <v/>
      </c>
      <c r="AM31" s="396" t="str">
        <f t="shared" si="12"/>
        <v/>
      </c>
      <c r="AN31" s="396" t="str">
        <f t="shared" si="12"/>
        <v/>
      </c>
      <c r="AO31" s="396" t="str">
        <f t="shared" si="13"/>
        <v/>
      </c>
      <c r="AP31" s="396" t="str">
        <f t="shared" si="14"/>
        <v/>
      </c>
      <c r="AR31" s="35" t="str">
        <f t="shared" si="0"/>
        <v>Sembunyikan</v>
      </c>
    </row>
    <row r="32" spans="2:44">
      <c r="B32" s="7">
        <v>23</v>
      </c>
      <c r="C32" s="7" t="str">
        <f>'Data Siswa'!C26&amp;""</f>
        <v/>
      </c>
      <c r="D32" s="11" t="str">
        <f>'Data Siswa'!F26&amp;""</f>
        <v/>
      </c>
      <c r="E32" s="434"/>
      <c r="F32" s="50"/>
      <c r="G32" s="50"/>
      <c r="H32" s="397" t="str">
        <f t="shared" si="1"/>
        <v/>
      </c>
      <c r="I32" s="50"/>
      <c r="J32" s="50"/>
      <c r="K32" s="397" t="str">
        <f t="shared" si="2"/>
        <v/>
      </c>
      <c r="L32" s="50"/>
      <c r="M32" s="50"/>
      <c r="N32" s="397" t="str">
        <f t="shared" si="3"/>
        <v/>
      </c>
      <c r="O32" s="50"/>
      <c r="P32" s="50"/>
      <c r="Q32" s="397" t="str">
        <f t="shared" si="4"/>
        <v/>
      </c>
      <c r="R32" s="50"/>
      <c r="S32" s="50"/>
      <c r="T32" s="397" t="str">
        <f t="shared" si="5"/>
        <v/>
      </c>
      <c r="U32" s="50"/>
      <c r="V32" s="50"/>
      <c r="W32" s="397" t="str">
        <f t="shared" si="6"/>
        <v/>
      </c>
      <c r="X32" s="50"/>
      <c r="Y32" s="50"/>
      <c r="Z32" s="397" t="str">
        <f t="shared" si="7"/>
        <v/>
      </c>
      <c r="AA32" s="50"/>
      <c r="AB32" s="50"/>
      <c r="AC32" s="397" t="str">
        <f t="shared" si="8"/>
        <v/>
      </c>
      <c r="AD32" s="50"/>
      <c r="AE32" s="50"/>
      <c r="AF32" s="397" t="str">
        <f t="shared" si="9"/>
        <v/>
      </c>
      <c r="AG32" s="49"/>
      <c r="AH32" s="50"/>
      <c r="AI32" s="397" t="str">
        <f t="shared" si="10"/>
        <v/>
      </c>
      <c r="AJ32" s="50"/>
      <c r="AK32" s="50"/>
      <c r="AL32" s="397" t="str">
        <f t="shared" si="11"/>
        <v/>
      </c>
      <c r="AM32" s="396" t="str">
        <f t="shared" si="12"/>
        <v/>
      </c>
      <c r="AN32" s="396" t="str">
        <f t="shared" si="12"/>
        <v/>
      </c>
      <c r="AO32" s="396" t="str">
        <f t="shared" si="13"/>
        <v/>
      </c>
      <c r="AP32" s="396" t="str">
        <f t="shared" si="14"/>
        <v/>
      </c>
      <c r="AR32" s="35" t="str">
        <f t="shared" si="0"/>
        <v>Sembunyikan</v>
      </c>
    </row>
    <row r="33" spans="2:44">
      <c r="B33" s="7">
        <v>24</v>
      </c>
      <c r="C33" s="7" t="str">
        <f>'Data Siswa'!C27&amp;""</f>
        <v/>
      </c>
      <c r="D33" s="11" t="str">
        <f>'Data Siswa'!F27&amp;""</f>
        <v/>
      </c>
      <c r="E33" s="434"/>
      <c r="F33" s="50"/>
      <c r="G33" s="50"/>
      <c r="H33" s="397" t="str">
        <f t="shared" si="1"/>
        <v/>
      </c>
      <c r="I33" s="50"/>
      <c r="J33" s="50"/>
      <c r="K33" s="397" t="str">
        <f t="shared" si="2"/>
        <v/>
      </c>
      <c r="L33" s="50"/>
      <c r="M33" s="50"/>
      <c r="N33" s="397" t="str">
        <f t="shared" si="3"/>
        <v/>
      </c>
      <c r="O33" s="50"/>
      <c r="P33" s="50"/>
      <c r="Q33" s="397" t="str">
        <f t="shared" si="4"/>
        <v/>
      </c>
      <c r="R33" s="50"/>
      <c r="S33" s="50"/>
      <c r="T33" s="397" t="str">
        <f t="shared" si="5"/>
        <v/>
      </c>
      <c r="U33" s="50"/>
      <c r="V33" s="50"/>
      <c r="W33" s="397" t="str">
        <f t="shared" si="6"/>
        <v/>
      </c>
      <c r="X33" s="50"/>
      <c r="Y33" s="50"/>
      <c r="Z33" s="397" t="str">
        <f t="shared" si="7"/>
        <v/>
      </c>
      <c r="AA33" s="50"/>
      <c r="AB33" s="50"/>
      <c r="AC33" s="397" t="str">
        <f t="shared" si="8"/>
        <v/>
      </c>
      <c r="AD33" s="50"/>
      <c r="AE33" s="50"/>
      <c r="AF33" s="397" t="str">
        <f t="shared" si="9"/>
        <v/>
      </c>
      <c r="AG33" s="49"/>
      <c r="AH33" s="50"/>
      <c r="AI33" s="397" t="str">
        <f t="shared" si="10"/>
        <v/>
      </c>
      <c r="AJ33" s="50"/>
      <c r="AK33" s="50"/>
      <c r="AL33" s="397" t="str">
        <f t="shared" si="11"/>
        <v/>
      </c>
      <c r="AM33" s="396" t="str">
        <f t="shared" si="12"/>
        <v/>
      </c>
      <c r="AN33" s="396" t="str">
        <f t="shared" si="12"/>
        <v/>
      </c>
      <c r="AO33" s="396" t="str">
        <f t="shared" si="13"/>
        <v/>
      </c>
      <c r="AP33" s="396" t="str">
        <f t="shared" si="14"/>
        <v/>
      </c>
      <c r="AR33" s="35" t="str">
        <f t="shared" si="0"/>
        <v>Sembunyikan</v>
      </c>
    </row>
    <row r="34" spans="2:44">
      <c r="B34" s="7">
        <v>25</v>
      </c>
      <c r="C34" s="7" t="str">
        <f>'Data Siswa'!C28&amp;""</f>
        <v/>
      </c>
      <c r="D34" s="11" t="str">
        <f>'Data Siswa'!F28&amp;""</f>
        <v/>
      </c>
      <c r="E34" s="434"/>
      <c r="F34" s="50"/>
      <c r="G34" s="50"/>
      <c r="H34" s="397" t="str">
        <f t="shared" si="1"/>
        <v/>
      </c>
      <c r="I34" s="50"/>
      <c r="J34" s="50"/>
      <c r="K34" s="397" t="str">
        <f t="shared" si="2"/>
        <v/>
      </c>
      <c r="L34" s="50"/>
      <c r="M34" s="50"/>
      <c r="N34" s="397" t="str">
        <f t="shared" si="3"/>
        <v/>
      </c>
      <c r="O34" s="50"/>
      <c r="P34" s="50"/>
      <c r="Q34" s="397" t="str">
        <f t="shared" si="4"/>
        <v/>
      </c>
      <c r="R34" s="50"/>
      <c r="S34" s="50"/>
      <c r="T34" s="397" t="str">
        <f t="shared" si="5"/>
        <v/>
      </c>
      <c r="U34" s="50"/>
      <c r="V34" s="50"/>
      <c r="W34" s="397" t="str">
        <f t="shared" si="6"/>
        <v/>
      </c>
      <c r="X34" s="50"/>
      <c r="Y34" s="50"/>
      <c r="Z34" s="397" t="str">
        <f t="shared" si="7"/>
        <v/>
      </c>
      <c r="AA34" s="50"/>
      <c r="AB34" s="50"/>
      <c r="AC34" s="397" t="str">
        <f t="shared" si="8"/>
        <v/>
      </c>
      <c r="AD34" s="50"/>
      <c r="AE34" s="50"/>
      <c r="AF34" s="397" t="str">
        <f t="shared" si="9"/>
        <v/>
      </c>
      <c r="AG34" s="49"/>
      <c r="AH34" s="50"/>
      <c r="AI34" s="397" t="str">
        <f t="shared" si="10"/>
        <v/>
      </c>
      <c r="AJ34" s="50"/>
      <c r="AK34" s="50"/>
      <c r="AL34" s="397" t="str">
        <f t="shared" si="11"/>
        <v/>
      </c>
      <c r="AM34" s="396" t="str">
        <f t="shared" si="12"/>
        <v/>
      </c>
      <c r="AN34" s="396" t="str">
        <f t="shared" si="12"/>
        <v/>
      </c>
      <c r="AO34" s="396" t="str">
        <f t="shared" si="13"/>
        <v/>
      </c>
      <c r="AP34" s="396" t="str">
        <f t="shared" si="14"/>
        <v/>
      </c>
      <c r="AR34" s="35" t="str">
        <f t="shared" si="0"/>
        <v>Sembunyikan</v>
      </c>
    </row>
    <row r="35" spans="2:44">
      <c r="B35" s="7">
        <v>26</v>
      </c>
      <c r="C35" s="7" t="str">
        <f>'Data Siswa'!C29&amp;""</f>
        <v/>
      </c>
      <c r="D35" s="11" t="str">
        <f>'Data Siswa'!F29&amp;""</f>
        <v/>
      </c>
      <c r="E35" s="435"/>
      <c r="F35" s="50"/>
      <c r="G35" s="50"/>
      <c r="H35" s="397" t="str">
        <f t="shared" si="1"/>
        <v/>
      </c>
      <c r="I35" s="50"/>
      <c r="J35" s="50"/>
      <c r="K35" s="397" t="str">
        <f t="shared" si="2"/>
        <v/>
      </c>
      <c r="L35" s="50"/>
      <c r="M35" s="50"/>
      <c r="N35" s="397" t="str">
        <f t="shared" si="3"/>
        <v/>
      </c>
      <c r="O35" s="50"/>
      <c r="P35" s="50"/>
      <c r="Q35" s="397" t="str">
        <f t="shared" si="4"/>
        <v/>
      </c>
      <c r="R35" s="50"/>
      <c r="S35" s="50"/>
      <c r="T35" s="397" t="str">
        <f t="shared" si="5"/>
        <v/>
      </c>
      <c r="U35" s="50"/>
      <c r="V35" s="50"/>
      <c r="W35" s="397" t="str">
        <f t="shared" si="6"/>
        <v/>
      </c>
      <c r="X35" s="50"/>
      <c r="Y35" s="50"/>
      <c r="Z35" s="397" t="str">
        <f t="shared" si="7"/>
        <v/>
      </c>
      <c r="AA35" s="50"/>
      <c r="AB35" s="50"/>
      <c r="AC35" s="397" t="str">
        <f t="shared" si="8"/>
        <v/>
      </c>
      <c r="AD35" s="50"/>
      <c r="AE35" s="50"/>
      <c r="AF35" s="397" t="str">
        <f t="shared" si="9"/>
        <v/>
      </c>
      <c r="AG35" s="49"/>
      <c r="AH35" s="50"/>
      <c r="AI35" s="397" t="str">
        <f t="shared" si="10"/>
        <v/>
      </c>
      <c r="AJ35" s="50"/>
      <c r="AK35" s="50"/>
      <c r="AL35" s="397" t="str">
        <f t="shared" si="11"/>
        <v/>
      </c>
      <c r="AM35" s="396" t="str">
        <f t="shared" si="12"/>
        <v/>
      </c>
      <c r="AN35" s="396" t="str">
        <f t="shared" si="12"/>
        <v/>
      </c>
      <c r="AO35" s="396" t="str">
        <f t="shared" si="13"/>
        <v/>
      </c>
      <c r="AP35" s="396" t="str">
        <f t="shared" si="14"/>
        <v/>
      </c>
      <c r="AR35" s="35" t="str">
        <f t="shared" si="0"/>
        <v>Sembunyikan</v>
      </c>
    </row>
    <row r="36" spans="2:44">
      <c r="B36" s="7">
        <v>27</v>
      </c>
      <c r="C36" s="7" t="str">
        <f>'Data Siswa'!C30&amp;""</f>
        <v/>
      </c>
      <c r="D36" s="11" t="str">
        <f>'Data Siswa'!F30&amp;""</f>
        <v/>
      </c>
      <c r="E36" s="434"/>
      <c r="F36" s="50"/>
      <c r="G36" s="50"/>
      <c r="H36" s="397" t="str">
        <f t="shared" si="1"/>
        <v/>
      </c>
      <c r="I36" s="50"/>
      <c r="J36" s="50"/>
      <c r="K36" s="397" t="str">
        <f t="shared" si="2"/>
        <v/>
      </c>
      <c r="L36" s="50"/>
      <c r="M36" s="50"/>
      <c r="N36" s="397" t="str">
        <f t="shared" si="3"/>
        <v/>
      </c>
      <c r="O36" s="50"/>
      <c r="P36" s="50"/>
      <c r="Q36" s="397" t="str">
        <f t="shared" si="4"/>
        <v/>
      </c>
      <c r="R36" s="50"/>
      <c r="S36" s="50"/>
      <c r="T36" s="397" t="str">
        <f t="shared" si="5"/>
        <v/>
      </c>
      <c r="U36" s="50"/>
      <c r="V36" s="50"/>
      <c r="W36" s="397" t="str">
        <f t="shared" si="6"/>
        <v/>
      </c>
      <c r="X36" s="50"/>
      <c r="Y36" s="50"/>
      <c r="Z36" s="397" t="str">
        <f t="shared" si="7"/>
        <v/>
      </c>
      <c r="AA36" s="50"/>
      <c r="AB36" s="50"/>
      <c r="AC36" s="397" t="str">
        <f t="shared" si="8"/>
        <v/>
      </c>
      <c r="AD36" s="50"/>
      <c r="AE36" s="50"/>
      <c r="AF36" s="397" t="str">
        <f t="shared" si="9"/>
        <v/>
      </c>
      <c r="AG36" s="49"/>
      <c r="AH36" s="50"/>
      <c r="AI36" s="397" t="str">
        <f t="shared" si="10"/>
        <v/>
      </c>
      <c r="AJ36" s="50"/>
      <c r="AK36" s="50"/>
      <c r="AL36" s="397" t="str">
        <f t="shared" si="11"/>
        <v/>
      </c>
      <c r="AM36" s="396" t="str">
        <f t="shared" si="12"/>
        <v/>
      </c>
      <c r="AN36" s="396" t="str">
        <f t="shared" si="12"/>
        <v/>
      </c>
      <c r="AO36" s="396" t="str">
        <f t="shared" si="13"/>
        <v/>
      </c>
      <c r="AP36" s="396" t="str">
        <f t="shared" si="14"/>
        <v/>
      </c>
      <c r="AR36" s="35" t="str">
        <f t="shared" si="0"/>
        <v>Sembunyikan</v>
      </c>
    </row>
    <row r="37" spans="2:44">
      <c r="B37" s="7">
        <v>28</v>
      </c>
      <c r="C37" s="7" t="str">
        <f>'Data Siswa'!C31&amp;""</f>
        <v/>
      </c>
      <c r="D37" s="11" t="str">
        <f>'Data Siswa'!F31&amp;""</f>
        <v/>
      </c>
      <c r="E37" s="434"/>
      <c r="F37" s="50"/>
      <c r="G37" s="50"/>
      <c r="H37" s="397" t="str">
        <f t="shared" si="1"/>
        <v/>
      </c>
      <c r="I37" s="50"/>
      <c r="J37" s="50"/>
      <c r="K37" s="397" t="str">
        <f t="shared" si="2"/>
        <v/>
      </c>
      <c r="L37" s="50"/>
      <c r="M37" s="50"/>
      <c r="N37" s="397" t="str">
        <f t="shared" si="3"/>
        <v/>
      </c>
      <c r="O37" s="50"/>
      <c r="P37" s="50"/>
      <c r="Q37" s="397" t="str">
        <f t="shared" si="4"/>
        <v/>
      </c>
      <c r="R37" s="50"/>
      <c r="S37" s="50"/>
      <c r="T37" s="397" t="str">
        <f t="shared" si="5"/>
        <v/>
      </c>
      <c r="U37" s="50"/>
      <c r="V37" s="50"/>
      <c r="W37" s="397" t="str">
        <f t="shared" si="6"/>
        <v/>
      </c>
      <c r="X37" s="50"/>
      <c r="Y37" s="50"/>
      <c r="Z37" s="397" t="str">
        <f t="shared" si="7"/>
        <v/>
      </c>
      <c r="AA37" s="50"/>
      <c r="AB37" s="50"/>
      <c r="AC37" s="397" t="str">
        <f t="shared" si="8"/>
        <v/>
      </c>
      <c r="AD37" s="50"/>
      <c r="AE37" s="50"/>
      <c r="AF37" s="397" t="str">
        <f t="shared" si="9"/>
        <v/>
      </c>
      <c r="AG37" s="49"/>
      <c r="AH37" s="50"/>
      <c r="AI37" s="397" t="str">
        <f t="shared" si="10"/>
        <v/>
      </c>
      <c r="AJ37" s="50"/>
      <c r="AK37" s="50"/>
      <c r="AL37" s="397" t="str">
        <f t="shared" si="11"/>
        <v/>
      </c>
      <c r="AM37" s="396" t="str">
        <f t="shared" si="12"/>
        <v/>
      </c>
      <c r="AN37" s="396" t="str">
        <f t="shared" si="12"/>
        <v/>
      </c>
      <c r="AO37" s="396" t="str">
        <f t="shared" si="13"/>
        <v/>
      </c>
      <c r="AP37" s="396" t="str">
        <f t="shared" si="14"/>
        <v/>
      </c>
      <c r="AR37" s="35" t="str">
        <f t="shared" si="0"/>
        <v>Sembunyikan</v>
      </c>
    </row>
    <row r="38" spans="2:44">
      <c r="B38" s="7">
        <v>29</v>
      </c>
      <c r="C38" s="7" t="str">
        <f>'Data Siswa'!C32&amp;""</f>
        <v/>
      </c>
      <c r="D38" s="11" t="str">
        <f>'Data Siswa'!F32&amp;""</f>
        <v/>
      </c>
      <c r="E38" s="434"/>
      <c r="F38" s="50"/>
      <c r="G38" s="50"/>
      <c r="H38" s="397" t="str">
        <f t="shared" si="1"/>
        <v/>
      </c>
      <c r="I38" s="50"/>
      <c r="J38" s="50"/>
      <c r="K38" s="397" t="str">
        <f t="shared" si="2"/>
        <v/>
      </c>
      <c r="L38" s="50"/>
      <c r="M38" s="50"/>
      <c r="N38" s="397" t="str">
        <f t="shared" si="3"/>
        <v/>
      </c>
      <c r="O38" s="50"/>
      <c r="P38" s="50"/>
      <c r="Q38" s="397" t="str">
        <f t="shared" si="4"/>
        <v/>
      </c>
      <c r="R38" s="50"/>
      <c r="S38" s="50"/>
      <c r="T38" s="397" t="str">
        <f t="shared" si="5"/>
        <v/>
      </c>
      <c r="U38" s="50"/>
      <c r="V38" s="50"/>
      <c r="W38" s="397" t="str">
        <f t="shared" si="6"/>
        <v/>
      </c>
      <c r="X38" s="50"/>
      <c r="Y38" s="50"/>
      <c r="Z38" s="397" t="str">
        <f t="shared" si="7"/>
        <v/>
      </c>
      <c r="AA38" s="50"/>
      <c r="AB38" s="50"/>
      <c r="AC38" s="397" t="str">
        <f t="shared" si="8"/>
        <v/>
      </c>
      <c r="AD38" s="50"/>
      <c r="AE38" s="50"/>
      <c r="AF38" s="397" t="str">
        <f t="shared" si="9"/>
        <v/>
      </c>
      <c r="AG38" s="49"/>
      <c r="AH38" s="50"/>
      <c r="AI38" s="397" t="str">
        <f t="shared" si="10"/>
        <v/>
      </c>
      <c r="AJ38" s="50"/>
      <c r="AK38" s="50"/>
      <c r="AL38" s="397" t="str">
        <f t="shared" si="11"/>
        <v/>
      </c>
      <c r="AM38" s="396" t="str">
        <f t="shared" si="12"/>
        <v/>
      </c>
      <c r="AN38" s="396" t="str">
        <f t="shared" si="12"/>
        <v/>
      </c>
      <c r="AO38" s="396" t="str">
        <f t="shared" si="13"/>
        <v/>
      </c>
      <c r="AP38" s="396" t="str">
        <f t="shared" si="14"/>
        <v/>
      </c>
      <c r="AR38" s="35" t="str">
        <f t="shared" si="0"/>
        <v>Sembunyikan</v>
      </c>
    </row>
    <row r="39" spans="2:44">
      <c r="B39" s="7">
        <v>30</v>
      </c>
      <c r="C39" s="7" t="str">
        <f>'Data Siswa'!C33&amp;""</f>
        <v/>
      </c>
      <c r="D39" s="11" t="str">
        <f>'Data Siswa'!F33&amp;""</f>
        <v/>
      </c>
      <c r="E39" s="434"/>
      <c r="F39" s="50"/>
      <c r="G39" s="50"/>
      <c r="H39" s="397" t="str">
        <f t="shared" si="1"/>
        <v/>
      </c>
      <c r="I39" s="50"/>
      <c r="J39" s="50"/>
      <c r="K39" s="397" t="str">
        <f t="shared" si="2"/>
        <v/>
      </c>
      <c r="L39" s="50"/>
      <c r="M39" s="50"/>
      <c r="N39" s="397" t="str">
        <f t="shared" si="3"/>
        <v/>
      </c>
      <c r="O39" s="50"/>
      <c r="P39" s="50"/>
      <c r="Q39" s="397" t="str">
        <f t="shared" si="4"/>
        <v/>
      </c>
      <c r="R39" s="50"/>
      <c r="S39" s="50"/>
      <c r="T39" s="397" t="str">
        <f t="shared" si="5"/>
        <v/>
      </c>
      <c r="U39" s="50"/>
      <c r="V39" s="50"/>
      <c r="W39" s="397" t="str">
        <f t="shared" si="6"/>
        <v/>
      </c>
      <c r="X39" s="50"/>
      <c r="Y39" s="50"/>
      <c r="Z39" s="397" t="str">
        <f t="shared" si="7"/>
        <v/>
      </c>
      <c r="AA39" s="50"/>
      <c r="AB39" s="50"/>
      <c r="AC39" s="397" t="str">
        <f t="shared" si="8"/>
        <v/>
      </c>
      <c r="AD39" s="50"/>
      <c r="AE39" s="50"/>
      <c r="AF39" s="397" t="str">
        <f t="shared" si="9"/>
        <v/>
      </c>
      <c r="AG39" s="49"/>
      <c r="AH39" s="50"/>
      <c r="AI39" s="397" t="str">
        <f t="shared" si="10"/>
        <v/>
      </c>
      <c r="AJ39" s="50"/>
      <c r="AK39" s="50"/>
      <c r="AL39" s="397" t="str">
        <f t="shared" si="11"/>
        <v/>
      </c>
      <c r="AM39" s="396" t="str">
        <f t="shared" si="12"/>
        <v/>
      </c>
      <c r="AN39" s="396" t="str">
        <f t="shared" si="12"/>
        <v/>
      </c>
      <c r="AO39" s="396" t="str">
        <f t="shared" si="13"/>
        <v/>
      </c>
      <c r="AP39" s="396" t="str">
        <f t="shared" si="14"/>
        <v/>
      </c>
      <c r="AR39" s="35" t="str">
        <f t="shared" si="0"/>
        <v>Sembunyikan</v>
      </c>
    </row>
    <row r="40" spans="2:44">
      <c r="B40" s="7">
        <v>31</v>
      </c>
      <c r="C40" s="7" t="str">
        <f>'Data Siswa'!C34&amp;""</f>
        <v/>
      </c>
      <c r="D40" s="11" t="str">
        <f>'Data Siswa'!F34&amp;""</f>
        <v/>
      </c>
      <c r="E40" s="434"/>
      <c r="F40" s="50"/>
      <c r="G40" s="50"/>
      <c r="H40" s="397" t="str">
        <f t="shared" si="1"/>
        <v/>
      </c>
      <c r="I40" s="50"/>
      <c r="J40" s="50"/>
      <c r="K40" s="397" t="str">
        <f t="shared" si="2"/>
        <v/>
      </c>
      <c r="L40" s="50"/>
      <c r="M40" s="50"/>
      <c r="N40" s="397" t="str">
        <f t="shared" si="3"/>
        <v/>
      </c>
      <c r="O40" s="50"/>
      <c r="P40" s="50"/>
      <c r="Q40" s="397" t="str">
        <f t="shared" si="4"/>
        <v/>
      </c>
      <c r="R40" s="50"/>
      <c r="S40" s="50"/>
      <c r="T40" s="397" t="str">
        <f t="shared" si="5"/>
        <v/>
      </c>
      <c r="U40" s="50"/>
      <c r="V40" s="50"/>
      <c r="W40" s="397" t="str">
        <f t="shared" si="6"/>
        <v/>
      </c>
      <c r="X40" s="50"/>
      <c r="Y40" s="50"/>
      <c r="Z40" s="397" t="str">
        <f t="shared" si="7"/>
        <v/>
      </c>
      <c r="AA40" s="50"/>
      <c r="AB40" s="50"/>
      <c r="AC40" s="397" t="str">
        <f t="shared" si="8"/>
        <v/>
      </c>
      <c r="AD40" s="50"/>
      <c r="AE40" s="50"/>
      <c r="AF40" s="397" t="str">
        <f t="shared" si="9"/>
        <v/>
      </c>
      <c r="AG40" s="49"/>
      <c r="AH40" s="50"/>
      <c r="AI40" s="397" t="str">
        <f t="shared" si="10"/>
        <v/>
      </c>
      <c r="AJ40" s="50"/>
      <c r="AK40" s="50"/>
      <c r="AL40" s="397" t="str">
        <f t="shared" si="11"/>
        <v/>
      </c>
      <c r="AM40" s="396" t="str">
        <f t="shared" si="12"/>
        <v/>
      </c>
      <c r="AN40" s="396" t="str">
        <f t="shared" si="12"/>
        <v/>
      </c>
      <c r="AO40" s="396" t="str">
        <f t="shared" si="13"/>
        <v/>
      </c>
      <c r="AP40" s="396" t="str">
        <f t="shared" si="14"/>
        <v/>
      </c>
      <c r="AR40" s="35" t="str">
        <f t="shared" si="0"/>
        <v>Sembunyikan</v>
      </c>
    </row>
    <row r="41" spans="2:44">
      <c r="B41" s="7">
        <v>32</v>
      </c>
      <c r="C41" s="7" t="str">
        <f>'Data Siswa'!C35&amp;""</f>
        <v/>
      </c>
      <c r="D41" s="11" t="str">
        <f>'Data Siswa'!F35&amp;""</f>
        <v/>
      </c>
      <c r="E41" s="434"/>
      <c r="F41" s="50"/>
      <c r="G41" s="50"/>
      <c r="H41" s="397" t="str">
        <f t="shared" si="1"/>
        <v/>
      </c>
      <c r="I41" s="50"/>
      <c r="J41" s="50"/>
      <c r="K41" s="397" t="str">
        <f t="shared" si="2"/>
        <v/>
      </c>
      <c r="L41" s="50"/>
      <c r="M41" s="50"/>
      <c r="N41" s="397" t="str">
        <f t="shared" si="3"/>
        <v/>
      </c>
      <c r="O41" s="50"/>
      <c r="P41" s="50"/>
      <c r="Q41" s="397" t="str">
        <f t="shared" si="4"/>
        <v/>
      </c>
      <c r="R41" s="50"/>
      <c r="S41" s="50"/>
      <c r="T41" s="397" t="str">
        <f t="shared" si="5"/>
        <v/>
      </c>
      <c r="U41" s="50"/>
      <c r="V41" s="50"/>
      <c r="W41" s="397" t="str">
        <f t="shared" si="6"/>
        <v/>
      </c>
      <c r="X41" s="50"/>
      <c r="Y41" s="50"/>
      <c r="Z41" s="397" t="str">
        <f t="shared" si="7"/>
        <v/>
      </c>
      <c r="AA41" s="50"/>
      <c r="AB41" s="50"/>
      <c r="AC41" s="397" t="str">
        <f t="shared" si="8"/>
        <v/>
      </c>
      <c r="AD41" s="50"/>
      <c r="AE41" s="50"/>
      <c r="AF41" s="397" t="str">
        <f t="shared" si="9"/>
        <v/>
      </c>
      <c r="AG41" s="49"/>
      <c r="AH41" s="50"/>
      <c r="AI41" s="397" t="str">
        <f t="shared" si="10"/>
        <v/>
      </c>
      <c r="AJ41" s="50"/>
      <c r="AK41" s="50"/>
      <c r="AL41" s="397" t="str">
        <f t="shared" si="11"/>
        <v/>
      </c>
      <c r="AM41" s="396" t="str">
        <f t="shared" si="12"/>
        <v/>
      </c>
      <c r="AN41" s="396" t="str">
        <f t="shared" si="12"/>
        <v/>
      </c>
      <c r="AO41" s="396" t="str">
        <f t="shared" si="13"/>
        <v/>
      </c>
      <c r="AP41" s="396" t="str">
        <f t="shared" si="14"/>
        <v/>
      </c>
      <c r="AR41" s="35" t="str">
        <f t="shared" si="0"/>
        <v>Sembunyikan</v>
      </c>
    </row>
    <row r="42" spans="2:44">
      <c r="B42" s="7">
        <v>33</v>
      </c>
      <c r="C42" s="7" t="str">
        <f>'Data Siswa'!C36&amp;""</f>
        <v/>
      </c>
      <c r="D42" s="11" t="str">
        <f>'Data Siswa'!F36&amp;""</f>
        <v/>
      </c>
      <c r="E42" s="434"/>
      <c r="F42" s="50"/>
      <c r="G42" s="50"/>
      <c r="H42" s="397" t="str">
        <f t="shared" si="1"/>
        <v/>
      </c>
      <c r="I42" s="50"/>
      <c r="J42" s="50"/>
      <c r="K42" s="397" t="str">
        <f t="shared" si="2"/>
        <v/>
      </c>
      <c r="L42" s="50"/>
      <c r="M42" s="50"/>
      <c r="N42" s="397" t="str">
        <f t="shared" si="3"/>
        <v/>
      </c>
      <c r="O42" s="50"/>
      <c r="P42" s="50"/>
      <c r="Q42" s="397" t="str">
        <f t="shared" si="4"/>
        <v/>
      </c>
      <c r="R42" s="50"/>
      <c r="S42" s="50"/>
      <c r="T42" s="397" t="str">
        <f t="shared" si="5"/>
        <v/>
      </c>
      <c r="U42" s="50"/>
      <c r="V42" s="50"/>
      <c r="W42" s="397" t="str">
        <f t="shared" si="6"/>
        <v/>
      </c>
      <c r="X42" s="50"/>
      <c r="Y42" s="50"/>
      <c r="Z42" s="397" t="str">
        <f t="shared" si="7"/>
        <v/>
      </c>
      <c r="AA42" s="50"/>
      <c r="AB42" s="50"/>
      <c r="AC42" s="397" t="str">
        <f t="shared" si="8"/>
        <v/>
      </c>
      <c r="AD42" s="50"/>
      <c r="AE42" s="50"/>
      <c r="AF42" s="397" t="str">
        <f t="shared" si="9"/>
        <v/>
      </c>
      <c r="AG42" s="49"/>
      <c r="AH42" s="50"/>
      <c r="AI42" s="397" t="str">
        <f t="shared" si="10"/>
        <v/>
      </c>
      <c r="AJ42" s="50"/>
      <c r="AK42" s="50"/>
      <c r="AL42" s="397" t="str">
        <f t="shared" si="11"/>
        <v/>
      </c>
      <c r="AM42" s="396" t="str">
        <f t="shared" si="12"/>
        <v/>
      </c>
      <c r="AN42" s="396" t="str">
        <f t="shared" si="12"/>
        <v/>
      </c>
      <c r="AO42" s="396" t="str">
        <f t="shared" si="13"/>
        <v/>
      </c>
      <c r="AP42" s="396" t="str">
        <f t="shared" si="14"/>
        <v/>
      </c>
      <c r="AR42" s="35" t="str">
        <f t="shared" ref="AR42:AR59" si="15">IF(D42="","Sembunyikan","Data")</f>
        <v>Sembunyikan</v>
      </c>
    </row>
    <row r="43" spans="2:44">
      <c r="B43" s="7">
        <v>34</v>
      </c>
      <c r="C43" s="7" t="str">
        <f>'Data Siswa'!C37&amp;""</f>
        <v/>
      </c>
      <c r="D43" s="11" t="str">
        <f>'Data Siswa'!F37&amp;""</f>
        <v/>
      </c>
      <c r="E43" s="434"/>
      <c r="F43" s="50"/>
      <c r="G43" s="50"/>
      <c r="H43" s="397" t="str">
        <f t="shared" si="1"/>
        <v/>
      </c>
      <c r="I43" s="50"/>
      <c r="J43" s="50"/>
      <c r="K43" s="397" t="str">
        <f t="shared" si="2"/>
        <v/>
      </c>
      <c r="L43" s="50"/>
      <c r="M43" s="50"/>
      <c r="N43" s="397" t="str">
        <f t="shared" si="3"/>
        <v/>
      </c>
      <c r="O43" s="50"/>
      <c r="P43" s="50"/>
      <c r="Q43" s="397" t="str">
        <f t="shared" si="4"/>
        <v/>
      </c>
      <c r="R43" s="50"/>
      <c r="S43" s="50"/>
      <c r="T43" s="397" t="str">
        <f t="shared" si="5"/>
        <v/>
      </c>
      <c r="U43" s="50"/>
      <c r="V43" s="50"/>
      <c r="W43" s="397" t="str">
        <f t="shared" si="6"/>
        <v/>
      </c>
      <c r="X43" s="50"/>
      <c r="Y43" s="50"/>
      <c r="Z43" s="397" t="str">
        <f t="shared" si="7"/>
        <v/>
      </c>
      <c r="AA43" s="50"/>
      <c r="AB43" s="50"/>
      <c r="AC43" s="397" t="str">
        <f t="shared" si="8"/>
        <v/>
      </c>
      <c r="AD43" s="50"/>
      <c r="AE43" s="50"/>
      <c r="AF43" s="397" t="str">
        <f t="shared" si="9"/>
        <v/>
      </c>
      <c r="AG43" s="49"/>
      <c r="AH43" s="50"/>
      <c r="AI43" s="397" t="str">
        <f t="shared" si="10"/>
        <v/>
      </c>
      <c r="AJ43" s="50"/>
      <c r="AK43" s="50"/>
      <c r="AL43" s="397" t="str">
        <f t="shared" si="11"/>
        <v/>
      </c>
      <c r="AM43" s="396" t="str">
        <f t="shared" si="12"/>
        <v/>
      </c>
      <c r="AN43" s="396" t="str">
        <f t="shared" si="12"/>
        <v/>
      </c>
      <c r="AO43" s="396" t="str">
        <f t="shared" si="13"/>
        <v/>
      </c>
      <c r="AP43" s="396" t="str">
        <f t="shared" si="14"/>
        <v/>
      </c>
      <c r="AR43" s="35" t="str">
        <f t="shared" si="15"/>
        <v>Sembunyikan</v>
      </c>
    </row>
    <row r="44" spans="2:44">
      <c r="B44" s="7">
        <v>35</v>
      </c>
      <c r="C44" s="7" t="str">
        <f>'Data Siswa'!C38&amp;""</f>
        <v/>
      </c>
      <c r="D44" s="11" t="str">
        <f>'Data Siswa'!F38&amp;""</f>
        <v/>
      </c>
      <c r="E44" s="434"/>
      <c r="F44" s="50"/>
      <c r="G44" s="50"/>
      <c r="H44" s="397" t="str">
        <f t="shared" si="1"/>
        <v/>
      </c>
      <c r="I44" s="50"/>
      <c r="J44" s="50"/>
      <c r="K44" s="397" t="str">
        <f t="shared" si="2"/>
        <v/>
      </c>
      <c r="L44" s="50"/>
      <c r="M44" s="50"/>
      <c r="N44" s="397" t="str">
        <f t="shared" si="3"/>
        <v/>
      </c>
      <c r="O44" s="50"/>
      <c r="P44" s="50"/>
      <c r="Q44" s="397" t="str">
        <f t="shared" si="4"/>
        <v/>
      </c>
      <c r="R44" s="50"/>
      <c r="S44" s="50"/>
      <c r="T44" s="397" t="str">
        <f t="shared" si="5"/>
        <v/>
      </c>
      <c r="U44" s="50"/>
      <c r="V44" s="50"/>
      <c r="W44" s="397" t="str">
        <f t="shared" si="6"/>
        <v/>
      </c>
      <c r="X44" s="50"/>
      <c r="Y44" s="50"/>
      <c r="Z44" s="397" t="str">
        <f t="shared" si="7"/>
        <v/>
      </c>
      <c r="AA44" s="50"/>
      <c r="AB44" s="50"/>
      <c r="AC44" s="397" t="str">
        <f t="shared" si="8"/>
        <v/>
      </c>
      <c r="AD44" s="50"/>
      <c r="AE44" s="50"/>
      <c r="AF44" s="397" t="str">
        <f t="shared" si="9"/>
        <v/>
      </c>
      <c r="AG44" s="49"/>
      <c r="AH44" s="50"/>
      <c r="AI44" s="397" t="str">
        <f t="shared" si="10"/>
        <v/>
      </c>
      <c r="AJ44" s="50"/>
      <c r="AK44" s="50"/>
      <c r="AL44" s="397" t="str">
        <f t="shared" si="11"/>
        <v/>
      </c>
      <c r="AM44" s="396" t="str">
        <f t="shared" si="12"/>
        <v/>
      </c>
      <c r="AN44" s="396" t="str">
        <f t="shared" si="12"/>
        <v/>
      </c>
      <c r="AO44" s="396" t="str">
        <f t="shared" si="13"/>
        <v/>
      </c>
      <c r="AP44" s="396" t="str">
        <f t="shared" si="14"/>
        <v/>
      </c>
      <c r="AR44" s="35" t="str">
        <f t="shared" si="15"/>
        <v>Sembunyikan</v>
      </c>
    </row>
    <row r="45" spans="2:44">
      <c r="B45" s="7">
        <v>36</v>
      </c>
      <c r="C45" s="7" t="str">
        <f>'Data Siswa'!C39&amp;""</f>
        <v/>
      </c>
      <c r="D45" s="11" t="str">
        <f>'Data Siswa'!F39&amp;""</f>
        <v/>
      </c>
      <c r="E45" s="434"/>
      <c r="F45" s="50"/>
      <c r="G45" s="50"/>
      <c r="H45" s="397" t="str">
        <f t="shared" si="1"/>
        <v/>
      </c>
      <c r="I45" s="50"/>
      <c r="J45" s="50"/>
      <c r="K45" s="397" t="str">
        <f t="shared" si="2"/>
        <v/>
      </c>
      <c r="L45" s="50"/>
      <c r="M45" s="50"/>
      <c r="N45" s="397" t="str">
        <f t="shared" si="3"/>
        <v/>
      </c>
      <c r="O45" s="50"/>
      <c r="P45" s="50"/>
      <c r="Q45" s="397" t="str">
        <f t="shared" si="4"/>
        <v/>
      </c>
      <c r="R45" s="50"/>
      <c r="S45" s="50"/>
      <c r="T45" s="397" t="str">
        <f t="shared" si="5"/>
        <v/>
      </c>
      <c r="U45" s="50"/>
      <c r="V45" s="50"/>
      <c r="W45" s="397" t="str">
        <f t="shared" si="6"/>
        <v/>
      </c>
      <c r="X45" s="50"/>
      <c r="Y45" s="50"/>
      <c r="Z45" s="397" t="str">
        <f t="shared" si="7"/>
        <v/>
      </c>
      <c r="AA45" s="50"/>
      <c r="AB45" s="50"/>
      <c r="AC45" s="397" t="str">
        <f t="shared" si="8"/>
        <v/>
      </c>
      <c r="AD45" s="50"/>
      <c r="AE45" s="50"/>
      <c r="AF45" s="397" t="str">
        <f t="shared" si="9"/>
        <v/>
      </c>
      <c r="AG45" s="49"/>
      <c r="AH45" s="50"/>
      <c r="AI45" s="397" t="str">
        <f t="shared" si="10"/>
        <v/>
      </c>
      <c r="AJ45" s="50"/>
      <c r="AK45" s="50"/>
      <c r="AL45" s="397" t="str">
        <f t="shared" si="11"/>
        <v/>
      </c>
      <c r="AM45" s="396" t="str">
        <f t="shared" si="12"/>
        <v/>
      </c>
      <c r="AN45" s="396" t="str">
        <f t="shared" si="12"/>
        <v/>
      </c>
      <c r="AO45" s="396" t="str">
        <f t="shared" si="13"/>
        <v/>
      </c>
      <c r="AP45" s="396" t="str">
        <f t="shared" si="14"/>
        <v/>
      </c>
      <c r="AR45" s="35" t="str">
        <f t="shared" si="15"/>
        <v>Sembunyikan</v>
      </c>
    </row>
    <row r="46" spans="2:44">
      <c r="B46" s="7">
        <v>37</v>
      </c>
      <c r="C46" s="7" t="str">
        <f>'Data Siswa'!C40&amp;""</f>
        <v/>
      </c>
      <c r="D46" s="11" t="str">
        <f>'Data Siswa'!F40&amp;""</f>
        <v/>
      </c>
      <c r="E46" s="434"/>
      <c r="F46" s="50"/>
      <c r="G46" s="50"/>
      <c r="H46" s="397" t="str">
        <f t="shared" si="1"/>
        <v/>
      </c>
      <c r="I46" s="50"/>
      <c r="J46" s="50"/>
      <c r="K46" s="397" t="str">
        <f t="shared" si="2"/>
        <v/>
      </c>
      <c r="L46" s="50"/>
      <c r="M46" s="50"/>
      <c r="N46" s="397" t="str">
        <f t="shared" si="3"/>
        <v/>
      </c>
      <c r="O46" s="50"/>
      <c r="P46" s="50"/>
      <c r="Q46" s="397" t="str">
        <f t="shared" si="4"/>
        <v/>
      </c>
      <c r="R46" s="50"/>
      <c r="S46" s="50"/>
      <c r="T46" s="397" t="str">
        <f t="shared" si="5"/>
        <v/>
      </c>
      <c r="U46" s="50"/>
      <c r="V46" s="50"/>
      <c r="W46" s="397" t="str">
        <f t="shared" si="6"/>
        <v/>
      </c>
      <c r="X46" s="50"/>
      <c r="Y46" s="50"/>
      <c r="Z46" s="397" t="str">
        <f t="shared" si="7"/>
        <v/>
      </c>
      <c r="AA46" s="50"/>
      <c r="AB46" s="50"/>
      <c r="AC46" s="397" t="str">
        <f t="shared" si="8"/>
        <v/>
      </c>
      <c r="AD46" s="50"/>
      <c r="AE46" s="50"/>
      <c r="AF46" s="397" t="str">
        <f t="shared" si="9"/>
        <v/>
      </c>
      <c r="AG46" s="49"/>
      <c r="AH46" s="50"/>
      <c r="AI46" s="397" t="str">
        <f t="shared" si="10"/>
        <v/>
      </c>
      <c r="AJ46" s="50"/>
      <c r="AK46" s="50"/>
      <c r="AL46" s="397" t="str">
        <f t="shared" si="11"/>
        <v/>
      </c>
      <c r="AM46" s="396" t="str">
        <f t="shared" si="12"/>
        <v/>
      </c>
      <c r="AN46" s="396" t="str">
        <f t="shared" si="12"/>
        <v/>
      </c>
      <c r="AO46" s="396" t="str">
        <f t="shared" si="13"/>
        <v/>
      </c>
      <c r="AP46" s="396" t="str">
        <f t="shared" si="14"/>
        <v/>
      </c>
      <c r="AR46" s="35" t="str">
        <f t="shared" si="15"/>
        <v>Sembunyikan</v>
      </c>
    </row>
    <row r="47" spans="2:44">
      <c r="B47" s="7">
        <v>38</v>
      </c>
      <c r="C47" s="7" t="str">
        <f>'Data Siswa'!C41&amp;""</f>
        <v/>
      </c>
      <c r="D47" s="11" t="str">
        <f>'Data Siswa'!F41&amp;""</f>
        <v/>
      </c>
      <c r="E47" s="434"/>
      <c r="F47" s="50"/>
      <c r="G47" s="50"/>
      <c r="H47" s="397" t="str">
        <f t="shared" si="1"/>
        <v/>
      </c>
      <c r="I47" s="50"/>
      <c r="J47" s="50"/>
      <c r="K47" s="397" t="str">
        <f t="shared" si="2"/>
        <v/>
      </c>
      <c r="L47" s="50"/>
      <c r="M47" s="50"/>
      <c r="N47" s="397" t="str">
        <f t="shared" si="3"/>
        <v/>
      </c>
      <c r="O47" s="50"/>
      <c r="P47" s="50"/>
      <c r="Q47" s="397" t="str">
        <f t="shared" si="4"/>
        <v/>
      </c>
      <c r="R47" s="50"/>
      <c r="S47" s="50"/>
      <c r="T47" s="397" t="str">
        <f t="shared" si="5"/>
        <v/>
      </c>
      <c r="U47" s="50"/>
      <c r="V47" s="50"/>
      <c r="W47" s="397" t="str">
        <f t="shared" si="6"/>
        <v/>
      </c>
      <c r="X47" s="50"/>
      <c r="Y47" s="50"/>
      <c r="Z47" s="397" t="str">
        <f t="shared" si="7"/>
        <v/>
      </c>
      <c r="AA47" s="50"/>
      <c r="AB47" s="50"/>
      <c r="AC47" s="397" t="str">
        <f t="shared" si="8"/>
        <v/>
      </c>
      <c r="AD47" s="50"/>
      <c r="AE47" s="50"/>
      <c r="AF47" s="397" t="str">
        <f t="shared" si="9"/>
        <v/>
      </c>
      <c r="AG47" s="49"/>
      <c r="AH47" s="50"/>
      <c r="AI47" s="397" t="str">
        <f t="shared" si="10"/>
        <v/>
      </c>
      <c r="AJ47" s="50"/>
      <c r="AK47" s="50"/>
      <c r="AL47" s="397" t="str">
        <f t="shared" si="11"/>
        <v/>
      </c>
      <c r="AM47" s="396" t="str">
        <f t="shared" si="12"/>
        <v/>
      </c>
      <c r="AN47" s="396" t="str">
        <f t="shared" si="12"/>
        <v/>
      </c>
      <c r="AO47" s="396" t="str">
        <f t="shared" si="13"/>
        <v/>
      </c>
      <c r="AP47" s="396" t="str">
        <f t="shared" si="14"/>
        <v/>
      </c>
      <c r="AR47" s="35" t="str">
        <f t="shared" si="15"/>
        <v>Sembunyikan</v>
      </c>
    </row>
    <row r="48" spans="2:44">
      <c r="B48" s="7">
        <v>39</v>
      </c>
      <c r="C48" s="7" t="str">
        <f>'Data Siswa'!C42&amp;""</f>
        <v/>
      </c>
      <c r="D48" s="11" t="str">
        <f>'Data Siswa'!F42&amp;""</f>
        <v/>
      </c>
      <c r="E48" s="434"/>
      <c r="F48" s="50"/>
      <c r="G48" s="50"/>
      <c r="H48" s="397" t="str">
        <f t="shared" si="1"/>
        <v/>
      </c>
      <c r="I48" s="50"/>
      <c r="J48" s="50"/>
      <c r="K48" s="397" t="str">
        <f t="shared" si="2"/>
        <v/>
      </c>
      <c r="L48" s="50"/>
      <c r="M48" s="50"/>
      <c r="N48" s="397" t="str">
        <f t="shared" si="3"/>
        <v/>
      </c>
      <c r="O48" s="50"/>
      <c r="P48" s="50"/>
      <c r="Q48" s="397" t="str">
        <f t="shared" si="4"/>
        <v/>
      </c>
      <c r="R48" s="50"/>
      <c r="S48" s="50"/>
      <c r="T48" s="397" t="str">
        <f t="shared" si="5"/>
        <v/>
      </c>
      <c r="U48" s="50"/>
      <c r="V48" s="50"/>
      <c r="W48" s="397" t="str">
        <f t="shared" si="6"/>
        <v/>
      </c>
      <c r="X48" s="50"/>
      <c r="Y48" s="50"/>
      <c r="Z48" s="397" t="str">
        <f t="shared" si="7"/>
        <v/>
      </c>
      <c r="AA48" s="50"/>
      <c r="AB48" s="50"/>
      <c r="AC48" s="397" t="str">
        <f t="shared" si="8"/>
        <v/>
      </c>
      <c r="AD48" s="50"/>
      <c r="AE48" s="50"/>
      <c r="AF48" s="397" t="str">
        <f t="shared" si="9"/>
        <v/>
      </c>
      <c r="AG48" s="49"/>
      <c r="AH48" s="50"/>
      <c r="AI48" s="397" t="str">
        <f t="shared" si="10"/>
        <v/>
      </c>
      <c r="AJ48" s="50"/>
      <c r="AK48" s="50"/>
      <c r="AL48" s="397" t="str">
        <f t="shared" si="11"/>
        <v/>
      </c>
      <c r="AM48" s="396" t="str">
        <f t="shared" si="12"/>
        <v/>
      </c>
      <c r="AN48" s="396" t="str">
        <f t="shared" si="12"/>
        <v/>
      </c>
      <c r="AO48" s="396" t="str">
        <f t="shared" si="13"/>
        <v/>
      </c>
      <c r="AP48" s="396" t="str">
        <f t="shared" si="14"/>
        <v/>
      </c>
      <c r="AR48" s="35" t="str">
        <f t="shared" si="15"/>
        <v>Sembunyikan</v>
      </c>
    </row>
    <row r="49" spans="2:44">
      <c r="B49" s="7">
        <v>40</v>
      </c>
      <c r="C49" s="7" t="str">
        <f>'Data Siswa'!C43&amp;""</f>
        <v/>
      </c>
      <c r="D49" s="11" t="str">
        <f>'Data Siswa'!F43&amp;""</f>
        <v/>
      </c>
      <c r="E49" s="434"/>
      <c r="F49" s="50"/>
      <c r="G49" s="50"/>
      <c r="H49" s="397" t="str">
        <f t="shared" si="1"/>
        <v/>
      </c>
      <c r="I49" s="50"/>
      <c r="J49" s="50"/>
      <c r="K49" s="397" t="str">
        <f t="shared" si="2"/>
        <v/>
      </c>
      <c r="L49" s="50"/>
      <c r="M49" s="50"/>
      <c r="N49" s="397" t="str">
        <f t="shared" si="3"/>
        <v/>
      </c>
      <c r="O49" s="50"/>
      <c r="P49" s="50"/>
      <c r="Q49" s="397" t="str">
        <f t="shared" si="4"/>
        <v/>
      </c>
      <c r="R49" s="50"/>
      <c r="S49" s="50"/>
      <c r="T49" s="397" t="str">
        <f t="shared" si="5"/>
        <v/>
      </c>
      <c r="U49" s="50"/>
      <c r="V49" s="50"/>
      <c r="W49" s="397" t="str">
        <f t="shared" si="6"/>
        <v/>
      </c>
      <c r="X49" s="50"/>
      <c r="Y49" s="50"/>
      <c r="Z49" s="397" t="str">
        <f t="shared" si="7"/>
        <v/>
      </c>
      <c r="AA49" s="50"/>
      <c r="AB49" s="50"/>
      <c r="AC49" s="397" t="str">
        <f t="shared" si="8"/>
        <v/>
      </c>
      <c r="AD49" s="50"/>
      <c r="AE49" s="50"/>
      <c r="AF49" s="397" t="str">
        <f t="shared" si="9"/>
        <v/>
      </c>
      <c r="AG49" s="49"/>
      <c r="AH49" s="50"/>
      <c r="AI49" s="397" t="str">
        <f t="shared" si="10"/>
        <v/>
      </c>
      <c r="AJ49" s="50"/>
      <c r="AK49" s="50"/>
      <c r="AL49" s="397" t="str">
        <f t="shared" si="11"/>
        <v/>
      </c>
      <c r="AM49" s="396" t="str">
        <f t="shared" si="12"/>
        <v/>
      </c>
      <c r="AN49" s="396" t="str">
        <f t="shared" si="12"/>
        <v/>
      </c>
      <c r="AO49" s="396" t="str">
        <f t="shared" si="13"/>
        <v/>
      </c>
      <c r="AP49" s="396" t="str">
        <f t="shared" si="14"/>
        <v/>
      </c>
      <c r="AR49" s="35" t="str">
        <f t="shared" si="15"/>
        <v>Sembunyikan</v>
      </c>
    </row>
    <row r="50" spans="2:44">
      <c r="B50" s="7">
        <v>41</v>
      </c>
      <c r="C50" s="7" t="str">
        <f>'Data Siswa'!C44&amp;""</f>
        <v/>
      </c>
      <c r="D50" s="11" t="str">
        <f>'Data Siswa'!F44&amp;""</f>
        <v/>
      </c>
      <c r="E50" s="434"/>
      <c r="F50" s="50"/>
      <c r="G50" s="50"/>
      <c r="H50" s="397" t="str">
        <f t="shared" si="1"/>
        <v/>
      </c>
      <c r="I50" s="50"/>
      <c r="J50" s="50"/>
      <c r="K50" s="397" t="str">
        <f t="shared" si="2"/>
        <v/>
      </c>
      <c r="L50" s="50"/>
      <c r="M50" s="50"/>
      <c r="N50" s="397" t="str">
        <f t="shared" si="3"/>
        <v/>
      </c>
      <c r="O50" s="50"/>
      <c r="P50" s="50"/>
      <c r="Q50" s="397" t="str">
        <f t="shared" si="4"/>
        <v/>
      </c>
      <c r="R50" s="50"/>
      <c r="S50" s="50"/>
      <c r="T50" s="397" t="str">
        <f t="shared" si="5"/>
        <v/>
      </c>
      <c r="U50" s="50"/>
      <c r="V50" s="50"/>
      <c r="W50" s="397" t="str">
        <f t="shared" si="6"/>
        <v/>
      </c>
      <c r="X50" s="50"/>
      <c r="Y50" s="50"/>
      <c r="Z50" s="397" t="str">
        <f t="shared" si="7"/>
        <v/>
      </c>
      <c r="AA50" s="50"/>
      <c r="AB50" s="50"/>
      <c r="AC50" s="397" t="str">
        <f t="shared" si="8"/>
        <v/>
      </c>
      <c r="AD50" s="50"/>
      <c r="AE50" s="50"/>
      <c r="AF50" s="397" t="str">
        <f t="shared" si="9"/>
        <v/>
      </c>
      <c r="AG50" s="49"/>
      <c r="AH50" s="50"/>
      <c r="AI50" s="397" t="str">
        <f t="shared" si="10"/>
        <v/>
      </c>
      <c r="AJ50" s="50"/>
      <c r="AK50" s="50"/>
      <c r="AL50" s="397" t="str">
        <f t="shared" si="11"/>
        <v/>
      </c>
      <c r="AM50" s="396" t="str">
        <f t="shared" si="12"/>
        <v/>
      </c>
      <c r="AN50" s="396" t="str">
        <f t="shared" si="12"/>
        <v/>
      </c>
      <c r="AO50" s="396" t="str">
        <f t="shared" si="13"/>
        <v/>
      </c>
      <c r="AP50" s="396" t="str">
        <f t="shared" si="14"/>
        <v/>
      </c>
      <c r="AR50" s="35" t="str">
        <f t="shared" si="15"/>
        <v>Sembunyikan</v>
      </c>
    </row>
    <row r="51" spans="2:44">
      <c r="B51" s="7">
        <v>42</v>
      </c>
      <c r="C51" s="7" t="str">
        <f>'Data Siswa'!C45&amp;""</f>
        <v/>
      </c>
      <c r="D51" s="11" t="str">
        <f>'Data Siswa'!F45&amp;""</f>
        <v/>
      </c>
      <c r="E51" s="434"/>
      <c r="F51" s="50"/>
      <c r="G51" s="50"/>
      <c r="H51" s="397" t="str">
        <f t="shared" si="1"/>
        <v/>
      </c>
      <c r="I51" s="50"/>
      <c r="J51" s="50"/>
      <c r="K51" s="397" t="str">
        <f t="shared" si="2"/>
        <v/>
      </c>
      <c r="L51" s="50"/>
      <c r="M51" s="50"/>
      <c r="N51" s="397" t="str">
        <f t="shared" si="3"/>
        <v/>
      </c>
      <c r="O51" s="50"/>
      <c r="P51" s="50"/>
      <c r="Q51" s="397" t="str">
        <f t="shared" si="4"/>
        <v/>
      </c>
      <c r="R51" s="50"/>
      <c r="S51" s="50"/>
      <c r="T51" s="397" t="str">
        <f t="shared" si="5"/>
        <v/>
      </c>
      <c r="U51" s="50"/>
      <c r="V51" s="50"/>
      <c r="W51" s="397" t="str">
        <f t="shared" si="6"/>
        <v/>
      </c>
      <c r="X51" s="50"/>
      <c r="Y51" s="50"/>
      <c r="Z51" s="397" t="str">
        <f t="shared" si="7"/>
        <v/>
      </c>
      <c r="AA51" s="50"/>
      <c r="AB51" s="50"/>
      <c r="AC51" s="397" t="str">
        <f t="shared" si="8"/>
        <v/>
      </c>
      <c r="AD51" s="50"/>
      <c r="AE51" s="50"/>
      <c r="AF51" s="397" t="str">
        <f t="shared" si="9"/>
        <v/>
      </c>
      <c r="AG51" s="49"/>
      <c r="AH51" s="50"/>
      <c r="AI51" s="397" t="str">
        <f t="shared" si="10"/>
        <v/>
      </c>
      <c r="AJ51" s="50"/>
      <c r="AK51" s="50"/>
      <c r="AL51" s="397" t="str">
        <f t="shared" si="11"/>
        <v/>
      </c>
      <c r="AM51" s="396" t="str">
        <f t="shared" si="12"/>
        <v/>
      </c>
      <c r="AN51" s="396" t="str">
        <f t="shared" si="12"/>
        <v/>
      </c>
      <c r="AO51" s="396" t="str">
        <f t="shared" si="13"/>
        <v/>
      </c>
      <c r="AP51" s="396" t="str">
        <f t="shared" si="14"/>
        <v/>
      </c>
      <c r="AR51" s="35" t="str">
        <f t="shared" si="15"/>
        <v>Sembunyikan</v>
      </c>
    </row>
    <row r="52" spans="2:44">
      <c r="B52" s="7">
        <v>43</v>
      </c>
      <c r="C52" s="7" t="str">
        <f>'Data Siswa'!C46&amp;""</f>
        <v/>
      </c>
      <c r="D52" s="11" t="str">
        <f>'Data Siswa'!F46&amp;""</f>
        <v/>
      </c>
      <c r="E52" s="434"/>
      <c r="F52" s="50"/>
      <c r="G52" s="50"/>
      <c r="H52" s="397" t="str">
        <f t="shared" si="1"/>
        <v/>
      </c>
      <c r="I52" s="50"/>
      <c r="J52" s="50"/>
      <c r="K52" s="397" t="str">
        <f t="shared" si="2"/>
        <v/>
      </c>
      <c r="L52" s="50"/>
      <c r="M52" s="50"/>
      <c r="N52" s="397" t="str">
        <f t="shared" si="3"/>
        <v/>
      </c>
      <c r="O52" s="50"/>
      <c r="P52" s="50"/>
      <c r="Q52" s="397" t="str">
        <f t="shared" si="4"/>
        <v/>
      </c>
      <c r="R52" s="50"/>
      <c r="S52" s="50"/>
      <c r="T52" s="397" t="str">
        <f t="shared" si="5"/>
        <v/>
      </c>
      <c r="U52" s="50"/>
      <c r="V52" s="50"/>
      <c r="W52" s="397" t="str">
        <f t="shared" si="6"/>
        <v/>
      </c>
      <c r="X52" s="50"/>
      <c r="Y52" s="50"/>
      <c r="Z52" s="397" t="str">
        <f t="shared" si="7"/>
        <v/>
      </c>
      <c r="AA52" s="50"/>
      <c r="AB52" s="50"/>
      <c r="AC52" s="397" t="str">
        <f t="shared" si="8"/>
        <v/>
      </c>
      <c r="AD52" s="50"/>
      <c r="AE52" s="50"/>
      <c r="AF52" s="397" t="str">
        <f t="shared" si="9"/>
        <v/>
      </c>
      <c r="AG52" s="49"/>
      <c r="AH52" s="50"/>
      <c r="AI52" s="397" t="str">
        <f t="shared" si="10"/>
        <v/>
      </c>
      <c r="AJ52" s="50"/>
      <c r="AK52" s="50"/>
      <c r="AL52" s="397" t="str">
        <f t="shared" si="11"/>
        <v/>
      </c>
      <c r="AM52" s="396" t="str">
        <f t="shared" si="12"/>
        <v/>
      </c>
      <c r="AN52" s="396" t="str">
        <f t="shared" si="12"/>
        <v/>
      </c>
      <c r="AO52" s="396" t="str">
        <f t="shared" si="13"/>
        <v/>
      </c>
      <c r="AP52" s="396" t="str">
        <f t="shared" si="14"/>
        <v/>
      </c>
      <c r="AR52" s="35" t="str">
        <f t="shared" si="15"/>
        <v>Sembunyikan</v>
      </c>
    </row>
    <row r="53" spans="2:44">
      <c r="B53" s="7">
        <v>44</v>
      </c>
      <c r="C53" s="7" t="str">
        <f>'Data Siswa'!C47&amp;""</f>
        <v/>
      </c>
      <c r="D53" s="11" t="str">
        <f>'Data Siswa'!F47&amp;""</f>
        <v/>
      </c>
      <c r="E53" s="434"/>
      <c r="F53" s="50"/>
      <c r="G53" s="50"/>
      <c r="H53" s="397" t="str">
        <f t="shared" si="1"/>
        <v/>
      </c>
      <c r="I53" s="50"/>
      <c r="J53" s="50"/>
      <c r="K53" s="397" t="str">
        <f t="shared" si="2"/>
        <v/>
      </c>
      <c r="L53" s="50"/>
      <c r="M53" s="50"/>
      <c r="N53" s="397" t="str">
        <f t="shared" si="3"/>
        <v/>
      </c>
      <c r="O53" s="50"/>
      <c r="P53" s="50"/>
      <c r="Q53" s="397" t="str">
        <f t="shared" si="4"/>
        <v/>
      </c>
      <c r="R53" s="50"/>
      <c r="S53" s="50"/>
      <c r="T53" s="397" t="str">
        <f t="shared" si="5"/>
        <v/>
      </c>
      <c r="U53" s="50"/>
      <c r="V53" s="50"/>
      <c r="W53" s="397" t="str">
        <f t="shared" si="6"/>
        <v/>
      </c>
      <c r="X53" s="50"/>
      <c r="Y53" s="50"/>
      <c r="Z53" s="397" t="str">
        <f t="shared" si="7"/>
        <v/>
      </c>
      <c r="AA53" s="50"/>
      <c r="AB53" s="50"/>
      <c r="AC53" s="397" t="str">
        <f t="shared" si="8"/>
        <v/>
      </c>
      <c r="AD53" s="50"/>
      <c r="AE53" s="50"/>
      <c r="AF53" s="397" t="str">
        <f t="shared" si="9"/>
        <v/>
      </c>
      <c r="AG53" s="49"/>
      <c r="AH53" s="50"/>
      <c r="AI53" s="397" t="str">
        <f t="shared" si="10"/>
        <v/>
      </c>
      <c r="AJ53" s="50"/>
      <c r="AK53" s="50"/>
      <c r="AL53" s="397" t="str">
        <f t="shared" si="11"/>
        <v/>
      </c>
      <c r="AM53" s="396" t="str">
        <f t="shared" si="12"/>
        <v/>
      </c>
      <c r="AN53" s="396" t="str">
        <f t="shared" si="12"/>
        <v/>
      </c>
      <c r="AO53" s="396" t="str">
        <f t="shared" si="13"/>
        <v/>
      </c>
      <c r="AP53" s="396" t="str">
        <f t="shared" si="14"/>
        <v/>
      </c>
      <c r="AR53" s="35" t="str">
        <f t="shared" si="15"/>
        <v>Sembunyikan</v>
      </c>
    </row>
    <row r="54" spans="2:44">
      <c r="B54" s="7">
        <v>45</v>
      </c>
      <c r="C54" s="7" t="str">
        <f>'Data Siswa'!C48&amp;""</f>
        <v/>
      </c>
      <c r="D54" s="11" t="str">
        <f>'Data Siswa'!F48&amp;""</f>
        <v/>
      </c>
      <c r="E54" s="434"/>
      <c r="F54" s="50"/>
      <c r="G54" s="50"/>
      <c r="H54" s="397" t="str">
        <f t="shared" si="1"/>
        <v/>
      </c>
      <c r="I54" s="50"/>
      <c r="J54" s="50"/>
      <c r="K54" s="397" t="str">
        <f t="shared" si="2"/>
        <v/>
      </c>
      <c r="L54" s="50"/>
      <c r="M54" s="50"/>
      <c r="N54" s="397" t="str">
        <f t="shared" si="3"/>
        <v/>
      </c>
      <c r="O54" s="50"/>
      <c r="P54" s="50"/>
      <c r="Q54" s="397" t="str">
        <f t="shared" si="4"/>
        <v/>
      </c>
      <c r="R54" s="50"/>
      <c r="S54" s="50"/>
      <c r="T54" s="397" t="str">
        <f t="shared" si="5"/>
        <v/>
      </c>
      <c r="U54" s="50"/>
      <c r="V54" s="50"/>
      <c r="W54" s="397" t="str">
        <f t="shared" si="6"/>
        <v/>
      </c>
      <c r="X54" s="50"/>
      <c r="Y54" s="50"/>
      <c r="Z54" s="397" t="str">
        <f t="shared" si="7"/>
        <v/>
      </c>
      <c r="AA54" s="50"/>
      <c r="AB54" s="50"/>
      <c r="AC54" s="397" t="str">
        <f t="shared" si="8"/>
        <v/>
      </c>
      <c r="AD54" s="50"/>
      <c r="AE54" s="50"/>
      <c r="AF54" s="397" t="str">
        <f t="shared" si="9"/>
        <v/>
      </c>
      <c r="AG54" s="49"/>
      <c r="AH54" s="50"/>
      <c r="AI54" s="397" t="str">
        <f t="shared" si="10"/>
        <v/>
      </c>
      <c r="AJ54" s="50"/>
      <c r="AK54" s="50"/>
      <c r="AL54" s="397" t="str">
        <f t="shared" si="11"/>
        <v/>
      </c>
      <c r="AM54" s="396" t="str">
        <f t="shared" si="12"/>
        <v/>
      </c>
      <c r="AN54" s="396" t="str">
        <f t="shared" si="12"/>
        <v/>
      </c>
      <c r="AO54" s="396" t="str">
        <f t="shared" si="13"/>
        <v/>
      </c>
      <c r="AP54" s="396" t="str">
        <f t="shared" si="14"/>
        <v/>
      </c>
      <c r="AR54" s="35" t="str">
        <f t="shared" si="15"/>
        <v>Sembunyikan</v>
      </c>
    </row>
    <row r="55" spans="2:44">
      <c r="B55" s="7">
        <v>46</v>
      </c>
      <c r="C55" s="7" t="str">
        <f>'Data Siswa'!C49&amp;""</f>
        <v/>
      </c>
      <c r="D55" s="11" t="str">
        <f>'Data Siswa'!F49&amp;""</f>
        <v/>
      </c>
      <c r="E55" s="434"/>
      <c r="F55" s="50"/>
      <c r="G55" s="50"/>
      <c r="H55" s="397" t="str">
        <f t="shared" si="1"/>
        <v/>
      </c>
      <c r="I55" s="50"/>
      <c r="J55" s="50"/>
      <c r="K55" s="397" t="str">
        <f t="shared" si="2"/>
        <v/>
      </c>
      <c r="L55" s="50"/>
      <c r="M55" s="50"/>
      <c r="N55" s="397" t="str">
        <f t="shared" si="3"/>
        <v/>
      </c>
      <c r="O55" s="50"/>
      <c r="P55" s="50"/>
      <c r="Q55" s="397" t="str">
        <f t="shared" si="4"/>
        <v/>
      </c>
      <c r="R55" s="50"/>
      <c r="S55" s="50"/>
      <c r="T55" s="397" t="str">
        <f t="shared" si="5"/>
        <v/>
      </c>
      <c r="U55" s="50"/>
      <c r="V55" s="50"/>
      <c r="W55" s="397" t="str">
        <f t="shared" si="6"/>
        <v/>
      </c>
      <c r="X55" s="50"/>
      <c r="Y55" s="50"/>
      <c r="Z55" s="397" t="str">
        <f t="shared" si="7"/>
        <v/>
      </c>
      <c r="AA55" s="50"/>
      <c r="AB55" s="50"/>
      <c r="AC55" s="397" t="str">
        <f t="shared" si="8"/>
        <v/>
      </c>
      <c r="AD55" s="50"/>
      <c r="AE55" s="50"/>
      <c r="AF55" s="397" t="str">
        <f t="shared" si="9"/>
        <v/>
      </c>
      <c r="AG55" s="49"/>
      <c r="AH55" s="50"/>
      <c r="AI55" s="397" t="str">
        <f t="shared" si="10"/>
        <v/>
      </c>
      <c r="AJ55" s="50"/>
      <c r="AK55" s="50"/>
      <c r="AL55" s="397" t="str">
        <f t="shared" si="11"/>
        <v/>
      </c>
      <c r="AM55" s="396" t="str">
        <f t="shared" si="12"/>
        <v/>
      </c>
      <c r="AN55" s="396" t="str">
        <f t="shared" si="12"/>
        <v/>
      </c>
      <c r="AO55" s="396" t="str">
        <f t="shared" si="13"/>
        <v/>
      </c>
      <c r="AP55" s="396" t="str">
        <f t="shared" si="14"/>
        <v/>
      </c>
      <c r="AR55" s="35" t="str">
        <f t="shared" si="15"/>
        <v>Sembunyikan</v>
      </c>
    </row>
    <row r="56" spans="2:44">
      <c r="B56" s="7">
        <v>47</v>
      </c>
      <c r="C56" s="7" t="str">
        <f>'Data Siswa'!C50&amp;""</f>
        <v/>
      </c>
      <c r="D56" s="11" t="str">
        <f>'Data Siswa'!F50&amp;""</f>
        <v/>
      </c>
      <c r="E56" s="434"/>
      <c r="F56" s="50"/>
      <c r="G56" s="50"/>
      <c r="H56" s="397" t="str">
        <f t="shared" si="1"/>
        <v/>
      </c>
      <c r="I56" s="50"/>
      <c r="J56" s="50"/>
      <c r="K56" s="397" t="str">
        <f t="shared" si="2"/>
        <v/>
      </c>
      <c r="L56" s="50"/>
      <c r="M56" s="50"/>
      <c r="N56" s="397" t="str">
        <f t="shared" si="3"/>
        <v/>
      </c>
      <c r="O56" s="50"/>
      <c r="P56" s="50"/>
      <c r="Q56" s="397" t="str">
        <f t="shared" si="4"/>
        <v/>
      </c>
      <c r="R56" s="50"/>
      <c r="S56" s="50"/>
      <c r="T56" s="397" t="str">
        <f t="shared" si="5"/>
        <v/>
      </c>
      <c r="U56" s="50"/>
      <c r="V56" s="50"/>
      <c r="W56" s="397" t="str">
        <f t="shared" si="6"/>
        <v/>
      </c>
      <c r="X56" s="50"/>
      <c r="Y56" s="50"/>
      <c r="Z56" s="397" t="str">
        <f t="shared" si="7"/>
        <v/>
      </c>
      <c r="AA56" s="50"/>
      <c r="AB56" s="50"/>
      <c r="AC56" s="397" t="str">
        <f t="shared" si="8"/>
        <v/>
      </c>
      <c r="AD56" s="50"/>
      <c r="AE56" s="50"/>
      <c r="AF56" s="397" t="str">
        <f t="shared" si="9"/>
        <v/>
      </c>
      <c r="AG56" s="49"/>
      <c r="AH56" s="50"/>
      <c r="AI56" s="397" t="str">
        <f t="shared" si="10"/>
        <v/>
      </c>
      <c r="AJ56" s="50"/>
      <c r="AK56" s="50"/>
      <c r="AL56" s="397" t="str">
        <f t="shared" si="11"/>
        <v/>
      </c>
      <c r="AM56" s="396" t="str">
        <f t="shared" si="12"/>
        <v/>
      </c>
      <c r="AN56" s="396" t="str">
        <f t="shared" si="12"/>
        <v/>
      </c>
      <c r="AO56" s="396" t="str">
        <f t="shared" si="13"/>
        <v/>
      </c>
      <c r="AP56" s="396" t="str">
        <f t="shared" si="14"/>
        <v/>
      </c>
      <c r="AR56" s="35" t="str">
        <f t="shared" si="15"/>
        <v>Sembunyikan</v>
      </c>
    </row>
    <row r="57" spans="2:44">
      <c r="B57" s="7">
        <v>48</v>
      </c>
      <c r="C57" s="7" t="str">
        <f>'Data Siswa'!C51&amp;""</f>
        <v/>
      </c>
      <c r="D57" s="11" t="str">
        <f>'Data Siswa'!F51&amp;""</f>
        <v/>
      </c>
      <c r="E57" s="434"/>
      <c r="F57" s="50"/>
      <c r="G57" s="50"/>
      <c r="H57" s="397" t="str">
        <f t="shared" si="1"/>
        <v/>
      </c>
      <c r="I57" s="50"/>
      <c r="J57" s="50"/>
      <c r="K57" s="397" t="str">
        <f t="shared" si="2"/>
        <v/>
      </c>
      <c r="L57" s="50"/>
      <c r="M57" s="50"/>
      <c r="N57" s="397" t="str">
        <f t="shared" si="3"/>
        <v/>
      </c>
      <c r="O57" s="50"/>
      <c r="P57" s="50"/>
      <c r="Q57" s="397" t="str">
        <f t="shared" si="4"/>
        <v/>
      </c>
      <c r="R57" s="50"/>
      <c r="S57" s="50"/>
      <c r="T57" s="397" t="str">
        <f t="shared" si="5"/>
        <v/>
      </c>
      <c r="U57" s="50"/>
      <c r="V57" s="50"/>
      <c r="W57" s="397" t="str">
        <f t="shared" si="6"/>
        <v/>
      </c>
      <c r="X57" s="50"/>
      <c r="Y57" s="50"/>
      <c r="Z57" s="397" t="str">
        <f t="shared" si="7"/>
        <v/>
      </c>
      <c r="AA57" s="50"/>
      <c r="AB57" s="50"/>
      <c r="AC57" s="397" t="str">
        <f t="shared" si="8"/>
        <v/>
      </c>
      <c r="AD57" s="50"/>
      <c r="AE57" s="50"/>
      <c r="AF57" s="397" t="str">
        <f t="shared" si="9"/>
        <v/>
      </c>
      <c r="AG57" s="49"/>
      <c r="AH57" s="50"/>
      <c r="AI57" s="397" t="str">
        <f t="shared" si="10"/>
        <v/>
      </c>
      <c r="AJ57" s="50"/>
      <c r="AK57" s="50"/>
      <c r="AL57" s="397" t="str">
        <f t="shared" si="11"/>
        <v/>
      </c>
      <c r="AM57" s="396" t="str">
        <f t="shared" si="12"/>
        <v/>
      </c>
      <c r="AN57" s="396" t="str">
        <f t="shared" si="12"/>
        <v/>
      </c>
      <c r="AO57" s="396" t="str">
        <f t="shared" si="13"/>
        <v/>
      </c>
      <c r="AP57" s="396" t="str">
        <f t="shared" si="14"/>
        <v/>
      </c>
      <c r="AR57" s="35" t="str">
        <f t="shared" si="15"/>
        <v>Sembunyikan</v>
      </c>
    </row>
    <row r="58" spans="2:44">
      <c r="B58" s="7">
        <v>49</v>
      </c>
      <c r="C58" s="7" t="str">
        <f>'Data Siswa'!C52&amp;""</f>
        <v/>
      </c>
      <c r="D58" s="11" t="str">
        <f>'Data Siswa'!F52&amp;""</f>
        <v/>
      </c>
      <c r="E58" s="434"/>
      <c r="F58" s="50"/>
      <c r="G58" s="50"/>
      <c r="H58" s="397" t="str">
        <f t="shared" si="1"/>
        <v/>
      </c>
      <c r="I58" s="50"/>
      <c r="J58" s="50"/>
      <c r="K58" s="397" t="str">
        <f t="shared" si="2"/>
        <v/>
      </c>
      <c r="L58" s="50"/>
      <c r="M58" s="50"/>
      <c r="N58" s="397" t="str">
        <f t="shared" si="3"/>
        <v/>
      </c>
      <c r="O58" s="50"/>
      <c r="P58" s="50"/>
      <c r="Q58" s="397" t="str">
        <f t="shared" si="4"/>
        <v/>
      </c>
      <c r="R58" s="50"/>
      <c r="S58" s="50"/>
      <c r="T58" s="397" t="str">
        <f t="shared" si="5"/>
        <v/>
      </c>
      <c r="U58" s="50"/>
      <c r="V58" s="50"/>
      <c r="W58" s="397" t="str">
        <f t="shared" si="6"/>
        <v/>
      </c>
      <c r="X58" s="50"/>
      <c r="Y58" s="50"/>
      <c r="Z58" s="397" t="str">
        <f t="shared" si="7"/>
        <v/>
      </c>
      <c r="AA58" s="50"/>
      <c r="AB58" s="50"/>
      <c r="AC58" s="397" t="str">
        <f t="shared" si="8"/>
        <v/>
      </c>
      <c r="AD58" s="50"/>
      <c r="AE58" s="50"/>
      <c r="AF58" s="397" t="str">
        <f t="shared" si="9"/>
        <v/>
      </c>
      <c r="AG58" s="49"/>
      <c r="AH58" s="50"/>
      <c r="AI58" s="397" t="str">
        <f t="shared" si="10"/>
        <v/>
      </c>
      <c r="AJ58" s="50"/>
      <c r="AK58" s="50"/>
      <c r="AL58" s="397" t="str">
        <f t="shared" si="11"/>
        <v/>
      </c>
      <c r="AM58" s="396" t="str">
        <f t="shared" si="12"/>
        <v/>
      </c>
      <c r="AN58" s="396" t="str">
        <f t="shared" si="12"/>
        <v/>
      </c>
      <c r="AO58" s="396" t="str">
        <f t="shared" si="13"/>
        <v/>
      </c>
      <c r="AP58" s="396" t="str">
        <f t="shared" si="14"/>
        <v/>
      </c>
      <c r="AR58" s="35" t="str">
        <f t="shared" si="15"/>
        <v>Sembunyikan</v>
      </c>
    </row>
    <row r="59" spans="2:44">
      <c r="B59" s="7">
        <v>50</v>
      </c>
      <c r="C59" s="7" t="str">
        <f>'Data Siswa'!C53&amp;""</f>
        <v/>
      </c>
      <c r="D59" s="11" t="str">
        <f>'Data Siswa'!F53&amp;""</f>
        <v/>
      </c>
      <c r="E59" s="435"/>
      <c r="F59" s="50"/>
      <c r="G59" s="50"/>
      <c r="H59" s="397" t="str">
        <f t="shared" si="1"/>
        <v/>
      </c>
      <c r="I59" s="50"/>
      <c r="J59" s="50"/>
      <c r="K59" s="397" t="str">
        <f t="shared" si="2"/>
        <v/>
      </c>
      <c r="L59" s="50"/>
      <c r="M59" s="50"/>
      <c r="N59" s="397" t="str">
        <f t="shared" si="3"/>
        <v/>
      </c>
      <c r="O59" s="50"/>
      <c r="P59" s="50"/>
      <c r="Q59" s="397" t="str">
        <f t="shared" si="4"/>
        <v/>
      </c>
      <c r="R59" s="50"/>
      <c r="S59" s="50"/>
      <c r="T59" s="397" t="str">
        <f t="shared" si="5"/>
        <v/>
      </c>
      <c r="U59" s="50"/>
      <c r="V59" s="50"/>
      <c r="W59" s="397" t="str">
        <f t="shared" si="6"/>
        <v/>
      </c>
      <c r="X59" s="50"/>
      <c r="Y59" s="50"/>
      <c r="Z59" s="397" t="str">
        <f t="shared" si="7"/>
        <v/>
      </c>
      <c r="AA59" s="50"/>
      <c r="AB59" s="50"/>
      <c r="AC59" s="397" t="str">
        <f t="shared" si="8"/>
        <v/>
      </c>
      <c r="AD59" s="50"/>
      <c r="AE59" s="50"/>
      <c r="AF59" s="397" t="str">
        <f t="shared" si="9"/>
        <v/>
      </c>
      <c r="AG59" s="49"/>
      <c r="AH59" s="50"/>
      <c r="AI59" s="397" t="str">
        <f t="shared" si="10"/>
        <v/>
      </c>
      <c r="AJ59" s="50"/>
      <c r="AK59" s="50"/>
      <c r="AL59" s="397" t="str">
        <f t="shared" si="11"/>
        <v/>
      </c>
      <c r="AM59" s="396" t="str">
        <f t="shared" si="12"/>
        <v/>
      </c>
      <c r="AN59" s="396" t="str">
        <f t="shared" si="12"/>
        <v/>
      </c>
      <c r="AO59" s="396" t="str">
        <f t="shared" si="13"/>
        <v/>
      </c>
      <c r="AP59" s="396" t="str">
        <f t="shared" si="14"/>
        <v/>
      </c>
      <c r="AR59" s="35" t="str">
        <f t="shared" si="15"/>
        <v>Sembunyikan</v>
      </c>
    </row>
    <row r="61" spans="2:44">
      <c r="AD61" s="1" t="str">
        <f>Kabupaten&amp;", "&amp;TEXT(Tanggal,"DD MMMM YYYY")</f>
        <v>Wonogiri, 15 Juni 2022</v>
      </c>
    </row>
    <row r="62" spans="2:44">
      <c r="AD62" s="1" t="str">
        <f>"Kepala"&amp;" "&amp;Nama_Sekolah</f>
        <v>Kepala Sekolah Dasar Negeri 1 Giriharjo</v>
      </c>
    </row>
    <row r="63" spans="2:44">
      <c r="B63" s="213" t="s">
        <v>177</v>
      </c>
    </row>
    <row r="64" spans="2:44">
      <c r="B64" s="21" t="s">
        <v>178</v>
      </c>
    </row>
    <row r="66" spans="2:31">
      <c r="AD66" s="37">
        <f>Kepsek</f>
        <v>0</v>
      </c>
      <c r="AE66" s="37"/>
    </row>
    <row r="67" spans="2:31">
      <c r="AD67" s="36">
        <f>NIP_Kepsek</f>
        <v>0</v>
      </c>
      <c r="AE67" s="36"/>
    </row>
    <row r="71" spans="2:31">
      <c r="B71" s="192" t="s">
        <v>134</v>
      </c>
    </row>
  </sheetData>
  <sheetProtection password="CC5B" sheet="1" objects="1" scenarios="1" formatCells="0" formatColumns="0" autoFilter="0"/>
  <autoFilter ref="AR8:AR59"/>
  <mergeCells count="30">
    <mergeCell ref="E10:E59"/>
    <mergeCell ref="AP7:AP9"/>
    <mergeCell ref="F8:G8"/>
    <mergeCell ref="I8:J8"/>
    <mergeCell ref="L8:M8"/>
    <mergeCell ref="O8:P8"/>
    <mergeCell ref="R8:S8"/>
    <mergeCell ref="U8:V8"/>
    <mergeCell ref="X8:Y8"/>
    <mergeCell ref="AA8:AB8"/>
    <mergeCell ref="AD8:AE8"/>
    <mergeCell ref="Z7:Z9"/>
    <mergeCell ref="AC7:AC9"/>
    <mergeCell ref="AF7:AF9"/>
    <mergeCell ref="AI7:AI9"/>
    <mergeCell ref="AL7:AL9"/>
    <mergeCell ref="AO7:AO9"/>
    <mergeCell ref="AG8:AH8"/>
    <mergeCell ref="AJ8:AK8"/>
    <mergeCell ref="B1:AP1"/>
    <mergeCell ref="B7:B9"/>
    <mergeCell ref="C7:C9"/>
    <mergeCell ref="D7:D9"/>
    <mergeCell ref="H7:H9"/>
    <mergeCell ref="K7:K9"/>
    <mergeCell ref="Q7:Q9"/>
    <mergeCell ref="T7:T9"/>
    <mergeCell ref="W7:W9"/>
    <mergeCell ref="AM7:AN8"/>
    <mergeCell ref="N7:N9"/>
  </mergeCells>
  <conditionalFormatting sqref="F10:F59">
    <cfRule type="cellIs" dxfId="510" priority="236" operator="lessThan">
      <formula>$F$7</formula>
    </cfRule>
  </conditionalFormatting>
  <conditionalFormatting sqref="G10:G59">
    <cfRule type="cellIs" dxfId="509" priority="235" operator="lessThan">
      <formula>$G$7</formula>
    </cfRule>
  </conditionalFormatting>
  <conditionalFormatting sqref="I10:I59">
    <cfRule type="cellIs" dxfId="508" priority="234" operator="lessThan">
      <formula>$I$7</formula>
    </cfRule>
  </conditionalFormatting>
  <conditionalFormatting sqref="J10:J59">
    <cfRule type="cellIs" dxfId="507" priority="233" operator="lessThan">
      <formula>$J$7</formula>
    </cfRule>
  </conditionalFormatting>
  <conditionalFormatting sqref="L10:L59">
    <cfRule type="cellIs" dxfId="506" priority="232" operator="lessThan">
      <formula>$L$7</formula>
    </cfRule>
  </conditionalFormatting>
  <conditionalFormatting sqref="M10:M59">
    <cfRule type="cellIs" dxfId="505" priority="231" operator="lessThan">
      <formula>$M$7</formula>
    </cfRule>
  </conditionalFormatting>
  <conditionalFormatting sqref="O10:O59">
    <cfRule type="cellIs" dxfId="504" priority="230" operator="lessThan">
      <formula>$O$7</formula>
    </cfRule>
  </conditionalFormatting>
  <conditionalFormatting sqref="P10:P59">
    <cfRule type="cellIs" dxfId="503" priority="229" operator="lessThan">
      <formula>$P$7</formula>
    </cfRule>
  </conditionalFormatting>
  <conditionalFormatting sqref="R10:R59">
    <cfRule type="cellIs" dxfId="502" priority="228" operator="lessThan">
      <formula>$R$7</formula>
    </cfRule>
  </conditionalFormatting>
  <conditionalFormatting sqref="S10:S59">
    <cfRule type="cellIs" dxfId="501" priority="227" operator="lessThan">
      <formula>$S$7</formula>
    </cfRule>
  </conditionalFormatting>
  <conditionalFormatting sqref="U10:U59">
    <cfRule type="cellIs" dxfId="500" priority="226" operator="lessThan">
      <formula>$U$7</formula>
    </cfRule>
  </conditionalFormatting>
  <conditionalFormatting sqref="V10:V59">
    <cfRule type="cellIs" dxfId="499" priority="225" operator="lessThan">
      <formula>$V$7</formula>
    </cfRule>
  </conditionalFormatting>
  <conditionalFormatting sqref="X10:X59">
    <cfRule type="cellIs" dxfId="498" priority="224" operator="lessThan">
      <formula>$X$7</formula>
    </cfRule>
  </conditionalFormatting>
  <conditionalFormatting sqref="Y10:Y59">
    <cfRule type="cellIs" dxfId="497" priority="223" operator="lessThan">
      <formula>$Y$7</formula>
    </cfRule>
  </conditionalFormatting>
  <conditionalFormatting sqref="AA10:AA59">
    <cfRule type="cellIs" dxfId="496" priority="222" operator="lessThan">
      <formula>$AA$7</formula>
    </cfRule>
  </conditionalFormatting>
  <conditionalFormatting sqref="AB10:AB59">
    <cfRule type="cellIs" dxfId="495" priority="221" operator="lessThan">
      <formula>$AB$7</formula>
    </cfRule>
  </conditionalFormatting>
  <conditionalFormatting sqref="AD10:AD59">
    <cfRule type="cellIs" dxfId="494" priority="220" operator="lessThan">
      <formula>$AD$7</formula>
    </cfRule>
  </conditionalFormatting>
  <conditionalFormatting sqref="AE10:AE59">
    <cfRule type="cellIs" dxfId="493" priority="219" operator="lessThan">
      <formula>$AE$7</formula>
    </cfRule>
  </conditionalFormatting>
  <conditionalFormatting sqref="AG10:AG59">
    <cfRule type="cellIs" dxfId="492" priority="218" operator="lessThan">
      <formula>$AG$7</formula>
    </cfRule>
  </conditionalFormatting>
  <conditionalFormatting sqref="AH10:AH59">
    <cfRule type="cellIs" dxfId="491" priority="217" operator="lessThan">
      <formula>$AH$7</formula>
    </cfRule>
  </conditionalFormatting>
  <conditionalFormatting sqref="AJ10:AJ59">
    <cfRule type="cellIs" dxfId="490" priority="216" operator="lessThan">
      <formula>$AJ$7</formula>
    </cfRule>
  </conditionalFormatting>
  <conditionalFormatting sqref="AK10:AK59">
    <cfRule type="cellIs" dxfId="489" priority="215" operator="lessThan">
      <formula>$AK$7</formula>
    </cfRule>
  </conditionalFormatting>
  <conditionalFormatting sqref="F10:F59">
    <cfRule type="cellIs" dxfId="488" priority="214" operator="lessThan">
      <formula>$F$7</formula>
    </cfRule>
  </conditionalFormatting>
  <conditionalFormatting sqref="G10:G59">
    <cfRule type="cellIs" dxfId="487" priority="213" operator="lessThan">
      <formula>$G$7</formula>
    </cfRule>
  </conditionalFormatting>
  <conditionalFormatting sqref="I10:I59">
    <cfRule type="cellIs" dxfId="486" priority="212" operator="lessThan">
      <formula>$I$7</formula>
    </cfRule>
  </conditionalFormatting>
  <conditionalFormatting sqref="J10:J59">
    <cfRule type="cellIs" dxfId="485" priority="211" operator="lessThan">
      <formula>$J$7</formula>
    </cfRule>
  </conditionalFormatting>
  <conditionalFormatting sqref="L10:L59">
    <cfRule type="cellIs" dxfId="484" priority="210" operator="lessThan">
      <formula>$L$7</formula>
    </cfRule>
  </conditionalFormatting>
  <conditionalFormatting sqref="M10:M59">
    <cfRule type="cellIs" dxfId="483" priority="209" operator="lessThan">
      <formula>$M$7</formula>
    </cfRule>
  </conditionalFormatting>
  <conditionalFormatting sqref="O10:O59">
    <cfRule type="cellIs" dxfId="482" priority="208" operator="lessThan">
      <formula>$O$7</formula>
    </cfRule>
  </conditionalFormatting>
  <conditionalFormatting sqref="P10:P59">
    <cfRule type="cellIs" dxfId="481" priority="207" operator="lessThan">
      <formula>$P$7</formula>
    </cfRule>
  </conditionalFormatting>
  <conditionalFormatting sqref="R10:R59">
    <cfRule type="cellIs" dxfId="480" priority="206" operator="lessThan">
      <formula>$R$7</formula>
    </cfRule>
  </conditionalFormatting>
  <conditionalFormatting sqref="S10:S59">
    <cfRule type="cellIs" dxfId="479" priority="205" operator="lessThan">
      <formula>$S$7</formula>
    </cfRule>
  </conditionalFormatting>
  <conditionalFormatting sqref="U10:U59">
    <cfRule type="cellIs" dxfId="478" priority="204" operator="lessThan">
      <formula>$U$7</formula>
    </cfRule>
  </conditionalFormatting>
  <conditionalFormatting sqref="V10:V59">
    <cfRule type="cellIs" dxfId="477" priority="203" operator="lessThan">
      <formula>$V$7</formula>
    </cfRule>
  </conditionalFormatting>
  <conditionalFormatting sqref="X10:X59">
    <cfRule type="cellIs" dxfId="476" priority="202" operator="lessThan">
      <formula>$X$7</formula>
    </cfRule>
  </conditionalFormatting>
  <conditionalFormatting sqref="Y10:Y59">
    <cfRule type="cellIs" dxfId="475" priority="201" operator="lessThan">
      <formula>$Y$7</formula>
    </cfRule>
  </conditionalFormatting>
  <conditionalFormatting sqref="AA10:AA59">
    <cfRule type="cellIs" dxfId="474" priority="200" operator="lessThan">
      <formula>$AA$7</formula>
    </cfRule>
  </conditionalFormatting>
  <conditionalFormatting sqref="AB10:AB59">
    <cfRule type="cellIs" dxfId="473" priority="199" operator="lessThan">
      <formula>$AB$7</formula>
    </cfRule>
  </conditionalFormatting>
  <conditionalFormatting sqref="AD10:AD59">
    <cfRule type="cellIs" dxfId="472" priority="198" operator="lessThan">
      <formula>$AD$7</formula>
    </cfRule>
  </conditionalFormatting>
  <conditionalFormatting sqref="AE10:AE59">
    <cfRule type="cellIs" dxfId="471" priority="197" operator="lessThan">
      <formula>$AE$7</formula>
    </cfRule>
  </conditionalFormatting>
  <conditionalFormatting sqref="AG10:AG59">
    <cfRule type="cellIs" dxfId="470" priority="196" operator="lessThan">
      <formula>$AG$7</formula>
    </cfRule>
  </conditionalFormatting>
  <conditionalFormatting sqref="AH10:AH59">
    <cfRule type="cellIs" dxfId="469" priority="195" operator="lessThan">
      <formula>$AH$7</formula>
    </cfRule>
  </conditionalFormatting>
  <conditionalFormatting sqref="AJ10:AJ59">
    <cfRule type="cellIs" dxfId="468" priority="194" operator="lessThan">
      <formula>$AJ$7</formula>
    </cfRule>
  </conditionalFormatting>
  <conditionalFormatting sqref="AK10:AK59">
    <cfRule type="cellIs" dxfId="467" priority="193" operator="lessThan">
      <formula>$AK$7</formula>
    </cfRule>
  </conditionalFormatting>
  <conditionalFormatting sqref="F12:F59">
    <cfRule type="cellIs" dxfId="466" priority="192" operator="lessThan">
      <formula>$F$7</formula>
    </cfRule>
  </conditionalFormatting>
  <conditionalFormatting sqref="G11:G59">
    <cfRule type="cellIs" dxfId="465" priority="191" operator="lessThan">
      <formula>$G$7</formula>
    </cfRule>
  </conditionalFormatting>
  <conditionalFormatting sqref="I11:I59">
    <cfRule type="cellIs" dxfId="464" priority="190" operator="lessThan">
      <formula>$I$7</formula>
    </cfRule>
  </conditionalFormatting>
  <conditionalFormatting sqref="J11:J59">
    <cfRule type="cellIs" dxfId="463" priority="189" operator="lessThan">
      <formula>$J$7</formula>
    </cfRule>
  </conditionalFormatting>
  <conditionalFormatting sqref="L11:L59">
    <cfRule type="cellIs" dxfId="462" priority="188" operator="lessThan">
      <formula>$L$7</formula>
    </cfRule>
  </conditionalFormatting>
  <conditionalFormatting sqref="M11:M59">
    <cfRule type="cellIs" dxfId="461" priority="187" operator="lessThan">
      <formula>$M$7</formula>
    </cfRule>
  </conditionalFormatting>
  <conditionalFormatting sqref="O11:O59">
    <cfRule type="cellIs" dxfId="460" priority="186" operator="lessThan">
      <formula>$O$7</formula>
    </cfRule>
  </conditionalFormatting>
  <conditionalFormatting sqref="P11:P59">
    <cfRule type="cellIs" dxfId="459" priority="185" operator="lessThan">
      <formula>$P$7</formula>
    </cfRule>
  </conditionalFormatting>
  <conditionalFormatting sqref="R11:R59">
    <cfRule type="cellIs" dxfId="458" priority="184" operator="lessThan">
      <formula>$R$7</formula>
    </cfRule>
  </conditionalFormatting>
  <conditionalFormatting sqref="S11:S59">
    <cfRule type="cellIs" dxfId="457" priority="183" operator="lessThan">
      <formula>$S$7</formula>
    </cfRule>
  </conditionalFormatting>
  <conditionalFormatting sqref="U11:U59">
    <cfRule type="cellIs" dxfId="456" priority="182" operator="lessThan">
      <formula>$U$7</formula>
    </cfRule>
  </conditionalFormatting>
  <conditionalFormatting sqref="V11:V59">
    <cfRule type="cellIs" dxfId="455" priority="181" operator="lessThan">
      <formula>$V$7</formula>
    </cfRule>
  </conditionalFormatting>
  <conditionalFormatting sqref="X11:X59">
    <cfRule type="cellIs" dxfId="454" priority="180" operator="lessThan">
      <formula>$X$7</formula>
    </cfRule>
  </conditionalFormatting>
  <conditionalFormatting sqref="Y11:Y59">
    <cfRule type="cellIs" dxfId="453" priority="179" operator="lessThan">
      <formula>$Y$7</formula>
    </cfRule>
  </conditionalFormatting>
  <conditionalFormatting sqref="AA11:AA59">
    <cfRule type="cellIs" dxfId="452" priority="178" operator="lessThan">
      <formula>$AA$7</formula>
    </cfRule>
  </conditionalFormatting>
  <conditionalFormatting sqref="AB11:AB59">
    <cfRule type="cellIs" dxfId="451" priority="177" operator="lessThan">
      <formula>$AB$7</formula>
    </cfRule>
  </conditionalFormatting>
  <conditionalFormatting sqref="AD11:AD59">
    <cfRule type="cellIs" dxfId="450" priority="176" operator="lessThan">
      <formula>$AD$7</formula>
    </cfRule>
  </conditionalFormatting>
  <conditionalFormatting sqref="AE11:AE59">
    <cfRule type="cellIs" dxfId="449" priority="175" operator="lessThan">
      <formula>$AE$7</formula>
    </cfRule>
  </conditionalFormatting>
  <conditionalFormatting sqref="AG10:AG59">
    <cfRule type="cellIs" dxfId="448" priority="174" operator="lessThan">
      <formula>$AG$7</formula>
    </cfRule>
  </conditionalFormatting>
  <conditionalFormatting sqref="AH10:AH59">
    <cfRule type="cellIs" dxfId="447" priority="173" operator="lessThan">
      <formula>$AH$7</formula>
    </cfRule>
  </conditionalFormatting>
  <conditionalFormatting sqref="AJ10:AJ59">
    <cfRule type="cellIs" dxfId="446" priority="172" operator="lessThan">
      <formula>$AJ$7</formula>
    </cfRule>
  </conditionalFormatting>
  <conditionalFormatting sqref="AK10:AK59">
    <cfRule type="cellIs" dxfId="445" priority="171" operator="lessThan">
      <formula>$AK$7</formula>
    </cfRule>
  </conditionalFormatting>
  <conditionalFormatting sqref="F12:F59">
    <cfRule type="cellIs" dxfId="444" priority="170" operator="lessThan">
      <formula>$F$7</formula>
    </cfRule>
  </conditionalFormatting>
  <conditionalFormatting sqref="G11:G59">
    <cfRule type="cellIs" dxfId="443" priority="169" operator="lessThan">
      <formula>$G$7</formula>
    </cfRule>
  </conditionalFormatting>
  <conditionalFormatting sqref="I11:I59">
    <cfRule type="cellIs" dxfId="442" priority="168" operator="lessThan">
      <formula>$I$7</formula>
    </cfRule>
  </conditionalFormatting>
  <conditionalFormatting sqref="J11:J59">
    <cfRule type="cellIs" dxfId="441" priority="167" operator="lessThan">
      <formula>$J$7</formula>
    </cfRule>
  </conditionalFormatting>
  <conditionalFormatting sqref="L11:L59">
    <cfRule type="cellIs" dxfId="440" priority="166" operator="lessThan">
      <formula>$L$7</formula>
    </cfRule>
  </conditionalFormatting>
  <conditionalFormatting sqref="M11:M59">
    <cfRule type="cellIs" dxfId="439" priority="165" operator="lessThan">
      <formula>$M$7</formula>
    </cfRule>
  </conditionalFormatting>
  <conditionalFormatting sqref="O11:O59">
    <cfRule type="cellIs" dxfId="438" priority="164" operator="lessThan">
      <formula>$O$7</formula>
    </cfRule>
  </conditionalFormatting>
  <conditionalFormatting sqref="P11:P59">
    <cfRule type="cellIs" dxfId="437" priority="163" operator="lessThan">
      <formula>$P$7</formula>
    </cfRule>
  </conditionalFormatting>
  <conditionalFormatting sqref="R11:R59">
    <cfRule type="cellIs" dxfId="436" priority="162" operator="lessThan">
      <formula>$R$7</formula>
    </cfRule>
  </conditionalFormatting>
  <conditionalFormatting sqref="S11:S59">
    <cfRule type="cellIs" dxfId="435" priority="161" operator="lessThan">
      <formula>$S$7</formula>
    </cfRule>
  </conditionalFormatting>
  <conditionalFormatting sqref="U11:U59">
    <cfRule type="cellIs" dxfId="434" priority="160" operator="lessThan">
      <formula>$U$7</formula>
    </cfRule>
  </conditionalFormatting>
  <conditionalFormatting sqref="V11:V59">
    <cfRule type="cellIs" dxfId="433" priority="159" operator="lessThan">
      <formula>$V$7</formula>
    </cfRule>
  </conditionalFormatting>
  <conditionalFormatting sqref="X11:X59">
    <cfRule type="cellIs" dxfId="432" priority="158" operator="lessThan">
      <formula>$X$7</formula>
    </cfRule>
  </conditionalFormatting>
  <conditionalFormatting sqref="Y11:Y59">
    <cfRule type="cellIs" dxfId="431" priority="157" operator="lessThan">
      <formula>$Y$7</formula>
    </cfRule>
  </conditionalFormatting>
  <conditionalFormatting sqref="AA11:AA59">
    <cfRule type="cellIs" dxfId="430" priority="156" operator="lessThan">
      <formula>$AA$7</formula>
    </cfRule>
  </conditionalFormatting>
  <conditionalFormatting sqref="AB11:AB59">
    <cfRule type="cellIs" dxfId="429" priority="155" operator="lessThan">
      <formula>$AB$7</formula>
    </cfRule>
  </conditionalFormatting>
  <conditionalFormatting sqref="AD11:AD59">
    <cfRule type="cellIs" dxfId="428" priority="154" operator="lessThan">
      <formula>$AD$7</formula>
    </cfRule>
  </conditionalFormatting>
  <conditionalFormatting sqref="AE11:AE59">
    <cfRule type="cellIs" dxfId="427" priority="153" operator="lessThan">
      <formula>$AE$7</formula>
    </cfRule>
  </conditionalFormatting>
  <conditionalFormatting sqref="AG10:AG59">
    <cfRule type="cellIs" dxfId="426" priority="152" operator="lessThan">
      <formula>$AG$7</formula>
    </cfRule>
  </conditionalFormatting>
  <conditionalFormatting sqref="AH10:AH59">
    <cfRule type="cellIs" dxfId="425" priority="151" operator="lessThan">
      <formula>$AH$7</formula>
    </cfRule>
  </conditionalFormatting>
  <conditionalFormatting sqref="AJ10:AJ59">
    <cfRule type="cellIs" dxfId="424" priority="150" operator="lessThan">
      <formula>$AJ$7</formula>
    </cfRule>
  </conditionalFormatting>
  <conditionalFormatting sqref="AK10:AK59">
    <cfRule type="cellIs" dxfId="423" priority="149" operator="lessThan">
      <formula>$AK$7</formula>
    </cfRule>
  </conditionalFormatting>
  <conditionalFormatting sqref="F11">
    <cfRule type="cellIs" dxfId="422" priority="148" operator="lessThan">
      <formula>$F$7</formula>
    </cfRule>
  </conditionalFormatting>
  <conditionalFormatting sqref="F11">
    <cfRule type="cellIs" dxfId="421" priority="147" operator="lessThan">
      <formula>$F$7</formula>
    </cfRule>
  </conditionalFormatting>
  <conditionalFormatting sqref="F10">
    <cfRule type="cellIs" dxfId="420" priority="146" operator="lessThan">
      <formula>$F$7</formula>
    </cfRule>
  </conditionalFormatting>
  <conditionalFormatting sqref="G10">
    <cfRule type="cellIs" dxfId="419" priority="145" operator="lessThan">
      <formula>$G$7</formula>
    </cfRule>
  </conditionalFormatting>
  <conditionalFormatting sqref="I10">
    <cfRule type="cellIs" dxfId="418" priority="144" operator="lessThan">
      <formula>$I$7</formula>
    </cfRule>
  </conditionalFormatting>
  <conditionalFormatting sqref="J10">
    <cfRule type="cellIs" dxfId="417" priority="143" operator="lessThan">
      <formula>$J$7</formula>
    </cfRule>
  </conditionalFormatting>
  <conditionalFormatting sqref="O10">
    <cfRule type="cellIs" dxfId="416" priority="142" operator="lessThan">
      <formula>$O$7</formula>
    </cfRule>
  </conditionalFormatting>
  <conditionalFormatting sqref="P10">
    <cfRule type="cellIs" dxfId="415" priority="141" operator="lessThan">
      <formula>$P$7</formula>
    </cfRule>
  </conditionalFormatting>
  <conditionalFormatting sqref="R10">
    <cfRule type="cellIs" dxfId="414" priority="140" operator="lessThan">
      <formula>$R$7</formula>
    </cfRule>
  </conditionalFormatting>
  <conditionalFormatting sqref="S10">
    <cfRule type="cellIs" dxfId="413" priority="139" operator="lessThan">
      <formula>$S$7</formula>
    </cfRule>
  </conditionalFormatting>
  <conditionalFormatting sqref="U10">
    <cfRule type="cellIs" dxfId="412" priority="138" operator="lessThan">
      <formula>$U$7</formula>
    </cfRule>
  </conditionalFormatting>
  <conditionalFormatting sqref="V10">
    <cfRule type="cellIs" dxfId="411" priority="137" operator="lessThan">
      <formula>$V$7</formula>
    </cfRule>
  </conditionalFormatting>
  <conditionalFormatting sqref="X10">
    <cfRule type="cellIs" dxfId="410" priority="136" operator="lessThan">
      <formula>$X$7</formula>
    </cfRule>
  </conditionalFormatting>
  <conditionalFormatting sqref="Y10">
    <cfRule type="cellIs" dxfId="409" priority="135" operator="lessThan">
      <formula>$Y$7</formula>
    </cfRule>
  </conditionalFormatting>
  <conditionalFormatting sqref="AA10">
    <cfRule type="cellIs" dxfId="408" priority="134" operator="lessThan">
      <formula>$AA$7</formula>
    </cfRule>
  </conditionalFormatting>
  <conditionalFormatting sqref="AB10">
    <cfRule type="cellIs" dxfId="407" priority="133" operator="lessThan">
      <formula>$AB$7</formula>
    </cfRule>
  </conditionalFormatting>
  <conditionalFormatting sqref="AD10">
    <cfRule type="cellIs" dxfId="406" priority="132" operator="lessThan">
      <formula>$AD$7</formula>
    </cfRule>
  </conditionalFormatting>
  <conditionalFormatting sqref="AE10">
    <cfRule type="cellIs" dxfId="405" priority="131" operator="lessThan">
      <formula>$AE$7</formula>
    </cfRule>
  </conditionalFormatting>
  <conditionalFormatting sqref="F10">
    <cfRule type="cellIs" dxfId="404" priority="130" operator="lessThan">
      <formula>$F$7</formula>
    </cfRule>
  </conditionalFormatting>
  <conditionalFormatting sqref="G10">
    <cfRule type="cellIs" dxfId="403" priority="129" operator="lessThan">
      <formula>$G$7</formula>
    </cfRule>
  </conditionalFormatting>
  <conditionalFormatting sqref="I10">
    <cfRule type="cellIs" dxfId="402" priority="128" operator="lessThan">
      <formula>$I$7</formula>
    </cfRule>
  </conditionalFormatting>
  <conditionalFormatting sqref="J10">
    <cfRule type="cellIs" dxfId="401" priority="127" operator="lessThan">
      <formula>$J$7</formula>
    </cfRule>
  </conditionalFormatting>
  <conditionalFormatting sqref="O10">
    <cfRule type="cellIs" dxfId="400" priority="126" operator="lessThan">
      <formula>$O$7</formula>
    </cfRule>
  </conditionalFormatting>
  <conditionalFormatting sqref="P10">
    <cfRule type="cellIs" dxfId="399" priority="125" operator="lessThan">
      <formula>$P$7</formula>
    </cfRule>
  </conditionalFormatting>
  <conditionalFormatting sqref="R10">
    <cfRule type="cellIs" dxfId="398" priority="124" operator="lessThan">
      <formula>$R$7</formula>
    </cfRule>
  </conditionalFormatting>
  <conditionalFormatting sqref="S10">
    <cfRule type="cellIs" dxfId="397" priority="123" operator="lessThan">
      <formula>$S$7</formula>
    </cfRule>
  </conditionalFormatting>
  <conditionalFormatting sqref="U10">
    <cfRule type="cellIs" dxfId="396" priority="122" operator="lessThan">
      <formula>$U$7</formula>
    </cfRule>
  </conditionalFormatting>
  <conditionalFormatting sqref="V10">
    <cfRule type="cellIs" dxfId="395" priority="121" operator="lessThan">
      <formula>$V$7</formula>
    </cfRule>
  </conditionalFormatting>
  <conditionalFormatting sqref="X10">
    <cfRule type="cellIs" dxfId="394" priority="120" operator="lessThan">
      <formula>$X$7</formula>
    </cfRule>
  </conditionalFormatting>
  <conditionalFormatting sqref="Y10">
    <cfRule type="cellIs" dxfId="393" priority="119" operator="lessThan">
      <formula>$Y$7</formula>
    </cfRule>
  </conditionalFormatting>
  <conditionalFormatting sqref="AA10">
    <cfRule type="cellIs" dxfId="392" priority="118" operator="lessThan">
      <formula>$AA$7</formula>
    </cfRule>
  </conditionalFormatting>
  <conditionalFormatting sqref="AB10">
    <cfRule type="cellIs" dxfId="391" priority="117" operator="lessThan">
      <formula>$AB$7</formula>
    </cfRule>
  </conditionalFormatting>
  <conditionalFormatting sqref="AD10">
    <cfRule type="cellIs" dxfId="390" priority="116" operator="lessThan">
      <formula>$AD$7</formula>
    </cfRule>
  </conditionalFormatting>
  <conditionalFormatting sqref="AE10">
    <cfRule type="cellIs" dxfId="389" priority="115" operator="lessThan">
      <formula>$AE$7</formula>
    </cfRule>
  </conditionalFormatting>
  <conditionalFormatting sqref="L10">
    <cfRule type="cellIs" dxfId="388" priority="114" operator="lessThan">
      <formula>$L$7</formula>
    </cfRule>
  </conditionalFormatting>
  <conditionalFormatting sqref="M10">
    <cfRule type="cellIs" dxfId="387" priority="113" operator="lessThan">
      <formula>$M$7</formula>
    </cfRule>
  </conditionalFormatting>
  <conditionalFormatting sqref="L10">
    <cfRule type="cellIs" dxfId="386" priority="112" operator="lessThan">
      <formula>$L$7</formula>
    </cfRule>
  </conditionalFormatting>
  <conditionalFormatting sqref="M10">
    <cfRule type="cellIs" dxfId="385" priority="111" operator="lessThan">
      <formula>$M$7</formula>
    </cfRule>
  </conditionalFormatting>
  <conditionalFormatting sqref="F10:F30">
    <cfRule type="cellIs" dxfId="384" priority="110" operator="lessThan">
      <formula>$F$7</formula>
    </cfRule>
  </conditionalFormatting>
  <conditionalFormatting sqref="G10:G30">
    <cfRule type="cellIs" dxfId="383" priority="109" operator="lessThan">
      <formula>$G$7</formula>
    </cfRule>
  </conditionalFormatting>
  <conditionalFormatting sqref="F10:F30">
    <cfRule type="cellIs" dxfId="382" priority="108" operator="lessThan">
      <formula>$F$7</formula>
    </cfRule>
  </conditionalFormatting>
  <conditionalFormatting sqref="G10:G30">
    <cfRule type="cellIs" dxfId="381" priority="107" operator="lessThan">
      <formula>$G$7</formula>
    </cfRule>
  </conditionalFormatting>
  <conditionalFormatting sqref="F12:F30">
    <cfRule type="cellIs" dxfId="380" priority="106" operator="lessThan">
      <formula>$F$7</formula>
    </cfRule>
  </conditionalFormatting>
  <conditionalFormatting sqref="G11:G30">
    <cfRule type="cellIs" dxfId="379" priority="105" operator="lessThan">
      <formula>$G$7</formula>
    </cfRule>
  </conditionalFormatting>
  <conditionalFormatting sqref="F12:F30">
    <cfRule type="cellIs" dxfId="378" priority="104" operator="lessThan">
      <formula>$F$7</formula>
    </cfRule>
  </conditionalFormatting>
  <conditionalFormatting sqref="G11:G30">
    <cfRule type="cellIs" dxfId="377" priority="103" operator="lessThan">
      <formula>$G$7</formula>
    </cfRule>
  </conditionalFormatting>
  <conditionalFormatting sqref="F11">
    <cfRule type="cellIs" dxfId="376" priority="102" operator="lessThan">
      <formula>$F$7</formula>
    </cfRule>
  </conditionalFormatting>
  <conditionalFormatting sqref="F11">
    <cfRule type="cellIs" dxfId="375" priority="101" operator="lessThan">
      <formula>$F$7</formula>
    </cfRule>
  </conditionalFormatting>
  <conditionalFormatting sqref="F10">
    <cfRule type="cellIs" dxfId="374" priority="100" operator="lessThan">
      <formula>$F$7</formula>
    </cfRule>
  </conditionalFormatting>
  <conditionalFormatting sqref="G10">
    <cfRule type="cellIs" dxfId="373" priority="99" operator="lessThan">
      <formula>$G$7</formula>
    </cfRule>
  </conditionalFormatting>
  <conditionalFormatting sqref="F10">
    <cfRule type="cellIs" dxfId="372" priority="98" operator="lessThan">
      <formula>$F$7</formula>
    </cfRule>
  </conditionalFormatting>
  <conditionalFormatting sqref="G10">
    <cfRule type="cellIs" dxfId="371" priority="97" operator="lessThan">
      <formula>$G$7</formula>
    </cfRule>
  </conditionalFormatting>
  <conditionalFormatting sqref="I10:I30">
    <cfRule type="cellIs" dxfId="370" priority="96" operator="lessThan">
      <formula>$I$7</formula>
    </cfRule>
  </conditionalFormatting>
  <conditionalFormatting sqref="J10:J30">
    <cfRule type="cellIs" dxfId="369" priority="95" operator="lessThan">
      <formula>$J$7</formula>
    </cfRule>
  </conditionalFormatting>
  <conditionalFormatting sqref="I10:I30">
    <cfRule type="cellIs" dxfId="368" priority="94" operator="lessThan">
      <formula>$I$7</formula>
    </cfRule>
  </conditionalFormatting>
  <conditionalFormatting sqref="J10:J30">
    <cfRule type="cellIs" dxfId="367" priority="93" operator="lessThan">
      <formula>$J$7</formula>
    </cfRule>
  </conditionalFormatting>
  <conditionalFormatting sqref="I11:I30">
    <cfRule type="cellIs" dxfId="366" priority="92" operator="lessThan">
      <formula>$I$7</formula>
    </cfRule>
  </conditionalFormatting>
  <conditionalFormatting sqref="J11:J30">
    <cfRule type="cellIs" dxfId="365" priority="91" operator="lessThan">
      <formula>$J$7</formula>
    </cfRule>
  </conditionalFormatting>
  <conditionalFormatting sqref="I11:I30">
    <cfRule type="cellIs" dxfId="364" priority="90" operator="lessThan">
      <formula>$I$7</formula>
    </cfRule>
  </conditionalFormatting>
  <conditionalFormatting sqref="J11:J30">
    <cfRule type="cellIs" dxfId="363" priority="89" operator="lessThan">
      <formula>$J$7</formula>
    </cfRule>
  </conditionalFormatting>
  <conditionalFormatting sqref="I10">
    <cfRule type="cellIs" dxfId="362" priority="88" operator="lessThan">
      <formula>$I$7</formula>
    </cfRule>
  </conditionalFormatting>
  <conditionalFormatting sqref="J10">
    <cfRule type="cellIs" dxfId="361" priority="87" operator="lessThan">
      <formula>$J$7</formula>
    </cfRule>
  </conditionalFormatting>
  <conditionalFormatting sqref="I10">
    <cfRule type="cellIs" dxfId="360" priority="86" operator="lessThan">
      <formula>$I$7</formula>
    </cfRule>
  </conditionalFormatting>
  <conditionalFormatting sqref="J10">
    <cfRule type="cellIs" dxfId="359" priority="85" operator="lessThan">
      <formula>$J$7</formula>
    </cfRule>
  </conditionalFormatting>
  <conditionalFormatting sqref="L10:L30">
    <cfRule type="cellIs" dxfId="358" priority="84" operator="lessThan">
      <formula>$L$7</formula>
    </cfRule>
  </conditionalFormatting>
  <conditionalFormatting sqref="M10:M30">
    <cfRule type="cellIs" dxfId="357" priority="83" operator="lessThan">
      <formula>$M$7</formula>
    </cfRule>
  </conditionalFormatting>
  <conditionalFormatting sqref="L10:L30">
    <cfRule type="cellIs" dxfId="356" priority="82" operator="lessThan">
      <formula>$L$7</formula>
    </cfRule>
  </conditionalFormatting>
  <conditionalFormatting sqref="M10:M30">
    <cfRule type="cellIs" dxfId="355" priority="81" operator="lessThan">
      <formula>$M$7</formula>
    </cfRule>
  </conditionalFormatting>
  <conditionalFormatting sqref="L11:L30">
    <cfRule type="cellIs" dxfId="354" priority="80" operator="lessThan">
      <formula>$L$7</formula>
    </cfRule>
  </conditionalFormatting>
  <conditionalFormatting sqref="M11:M30">
    <cfRule type="cellIs" dxfId="353" priority="79" operator="lessThan">
      <formula>$M$7</formula>
    </cfRule>
  </conditionalFormatting>
  <conditionalFormatting sqref="L11:L30">
    <cfRule type="cellIs" dxfId="352" priority="78" operator="lessThan">
      <formula>$L$7</formula>
    </cfRule>
  </conditionalFormatting>
  <conditionalFormatting sqref="M11:M30">
    <cfRule type="cellIs" dxfId="351" priority="77" operator="lessThan">
      <formula>$M$7</formula>
    </cfRule>
  </conditionalFormatting>
  <conditionalFormatting sqref="L10">
    <cfRule type="cellIs" dxfId="350" priority="76" operator="lessThan">
      <formula>$L$7</formula>
    </cfRule>
  </conditionalFormatting>
  <conditionalFormatting sqref="M10">
    <cfRule type="cellIs" dxfId="349" priority="75" operator="lessThan">
      <formula>$M$7</formula>
    </cfRule>
  </conditionalFormatting>
  <conditionalFormatting sqref="L10">
    <cfRule type="cellIs" dxfId="348" priority="74" operator="lessThan">
      <formula>$L$7</formula>
    </cfRule>
  </conditionalFormatting>
  <conditionalFormatting sqref="M10">
    <cfRule type="cellIs" dxfId="347" priority="73" operator="lessThan">
      <formula>$M$7</formula>
    </cfRule>
  </conditionalFormatting>
  <conditionalFormatting sqref="O10:O30">
    <cfRule type="cellIs" dxfId="346" priority="72" operator="lessThan">
      <formula>$O$7</formula>
    </cfRule>
  </conditionalFormatting>
  <conditionalFormatting sqref="P10:P30">
    <cfRule type="cellIs" dxfId="345" priority="71" operator="lessThan">
      <formula>$P$7</formula>
    </cfRule>
  </conditionalFormatting>
  <conditionalFormatting sqref="O10:O30">
    <cfRule type="cellIs" dxfId="344" priority="70" operator="lessThan">
      <formula>$O$7</formula>
    </cfRule>
  </conditionalFormatting>
  <conditionalFormatting sqref="P10:P30">
    <cfRule type="cellIs" dxfId="343" priority="69" operator="lessThan">
      <formula>$P$7</formula>
    </cfRule>
  </conditionalFormatting>
  <conditionalFormatting sqref="O11:O30">
    <cfRule type="cellIs" dxfId="342" priority="68" operator="lessThan">
      <formula>$O$7</formula>
    </cfRule>
  </conditionalFormatting>
  <conditionalFormatting sqref="P11:P30">
    <cfRule type="cellIs" dxfId="341" priority="67" operator="lessThan">
      <formula>$P$7</formula>
    </cfRule>
  </conditionalFormatting>
  <conditionalFormatting sqref="O11:O30">
    <cfRule type="cellIs" dxfId="340" priority="66" operator="lessThan">
      <formula>$O$7</formula>
    </cfRule>
  </conditionalFormatting>
  <conditionalFormatting sqref="P11:P30">
    <cfRule type="cellIs" dxfId="339" priority="65" operator="lessThan">
      <formula>$P$7</formula>
    </cfRule>
  </conditionalFormatting>
  <conditionalFormatting sqref="O10">
    <cfRule type="cellIs" dxfId="338" priority="64" operator="lessThan">
      <formula>$O$7</formula>
    </cfRule>
  </conditionalFormatting>
  <conditionalFormatting sqref="P10">
    <cfRule type="cellIs" dxfId="337" priority="63" operator="lessThan">
      <formula>$P$7</formula>
    </cfRule>
  </conditionalFormatting>
  <conditionalFormatting sqref="O10">
    <cfRule type="cellIs" dxfId="336" priority="62" operator="lessThan">
      <formula>$O$7</formula>
    </cfRule>
  </conditionalFormatting>
  <conditionalFormatting sqref="P10">
    <cfRule type="cellIs" dxfId="335" priority="61" operator="lessThan">
      <formula>$P$7</formula>
    </cfRule>
  </conditionalFormatting>
  <conditionalFormatting sqref="R10:R30">
    <cfRule type="cellIs" dxfId="334" priority="60" operator="lessThan">
      <formula>$R$7</formula>
    </cfRule>
  </conditionalFormatting>
  <conditionalFormatting sqref="S10:S30">
    <cfRule type="cellIs" dxfId="333" priority="59" operator="lessThan">
      <formula>$S$7</formula>
    </cfRule>
  </conditionalFormatting>
  <conditionalFormatting sqref="R10:R30">
    <cfRule type="cellIs" dxfId="332" priority="58" operator="lessThan">
      <formula>$R$7</formula>
    </cfRule>
  </conditionalFormatting>
  <conditionalFormatting sqref="S10:S30">
    <cfRule type="cellIs" dxfId="331" priority="57" operator="lessThan">
      <formula>$S$7</formula>
    </cfRule>
  </conditionalFormatting>
  <conditionalFormatting sqref="R11:R30">
    <cfRule type="cellIs" dxfId="330" priority="56" operator="lessThan">
      <formula>$R$7</formula>
    </cfRule>
  </conditionalFormatting>
  <conditionalFormatting sqref="S11:S30">
    <cfRule type="cellIs" dxfId="329" priority="55" operator="lessThan">
      <formula>$S$7</formula>
    </cfRule>
  </conditionalFormatting>
  <conditionalFormatting sqref="R11:R30">
    <cfRule type="cellIs" dxfId="328" priority="54" operator="lessThan">
      <formula>$R$7</formula>
    </cfRule>
  </conditionalFormatting>
  <conditionalFormatting sqref="S11:S30">
    <cfRule type="cellIs" dxfId="327" priority="53" operator="lessThan">
      <formula>$S$7</formula>
    </cfRule>
  </conditionalFormatting>
  <conditionalFormatting sqref="R10">
    <cfRule type="cellIs" dxfId="326" priority="52" operator="lessThan">
      <formula>$R$7</formula>
    </cfRule>
  </conditionalFormatting>
  <conditionalFormatting sqref="S10">
    <cfRule type="cellIs" dxfId="325" priority="51" operator="lessThan">
      <formula>$S$7</formula>
    </cfRule>
  </conditionalFormatting>
  <conditionalFormatting sqref="R10">
    <cfRule type="cellIs" dxfId="324" priority="50" operator="lessThan">
      <formula>$R$7</formula>
    </cfRule>
  </conditionalFormatting>
  <conditionalFormatting sqref="S10">
    <cfRule type="cellIs" dxfId="323" priority="49" operator="lessThan">
      <formula>$S$7</formula>
    </cfRule>
  </conditionalFormatting>
  <conditionalFormatting sqref="U10:U30">
    <cfRule type="cellIs" dxfId="322" priority="48" operator="lessThan">
      <formula>$U$7</formula>
    </cfRule>
  </conditionalFormatting>
  <conditionalFormatting sqref="V10:V30">
    <cfRule type="cellIs" dxfId="321" priority="47" operator="lessThan">
      <formula>$V$7</formula>
    </cfRule>
  </conditionalFormatting>
  <conditionalFormatting sqref="U10:U30">
    <cfRule type="cellIs" dxfId="320" priority="46" operator="lessThan">
      <formula>$U$7</formula>
    </cfRule>
  </conditionalFormatting>
  <conditionalFormatting sqref="V10:V30">
    <cfRule type="cellIs" dxfId="319" priority="45" operator="lessThan">
      <formula>$V$7</formula>
    </cfRule>
  </conditionalFormatting>
  <conditionalFormatting sqref="U11:U30">
    <cfRule type="cellIs" dxfId="318" priority="44" operator="lessThan">
      <formula>$U$7</formula>
    </cfRule>
  </conditionalFormatting>
  <conditionalFormatting sqref="V11:V30">
    <cfRule type="cellIs" dxfId="317" priority="43" operator="lessThan">
      <formula>$V$7</formula>
    </cfRule>
  </conditionalFormatting>
  <conditionalFormatting sqref="U11:U30">
    <cfRule type="cellIs" dxfId="316" priority="42" operator="lessThan">
      <formula>$U$7</formula>
    </cfRule>
  </conditionalFormatting>
  <conditionalFormatting sqref="V11:V30">
    <cfRule type="cellIs" dxfId="315" priority="41" operator="lessThan">
      <formula>$V$7</formula>
    </cfRule>
  </conditionalFormatting>
  <conditionalFormatting sqref="U10">
    <cfRule type="cellIs" dxfId="314" priority="40" operator="lessThan">
      <formula>$U$7</formula>
    </cfRule>
  </conditionalFormatting>
  <conditionalFormatting sqref="V10">
    <cfRule type="cellIs" dxfId="313" priority="39" operator="lessThan">
      <formula>$V$7</formula>
    </cfRule>
  </conditionalFormatting>
  <conditionalFormatting sqref="U10">
    <cfRule type="cellIs" dxfId="312" priority="38" operator="lessThan">
      <formula>$U$7</formula>
    </cfRule>
  </conditionalFormatting>
  <conditionalFormatting sqref="V10">
    <cfRule type="cellIs" dxfId="311" priority="37" operator="lessThan">
      <formula>$V$7</formula>
    </cfRule>
  </conditionalFormatting>
  <conditionalFormatting sqref="X10:X30">
    <cfRule type="cellIs" dxfId="310" priority="36" operator="lessThan">
      <formula>$X$7</formula>
    </cfRule>
  </conditionalFormatting>
  <conditionalFormatting sqref="Y10:Y30">
    <cfRule type="cellIs" dxfId="309" priority="35" operator="lessThan">
      <formula>$Y$7</formula>
    </cfRule>
  </conditionalFormatting>
  <conditionalFormatting sqref="X10:X30">
    <cfRule type="cellIs" dxfId="308" priority="34" operator="lessThan">
      <formula>$X$7</formula>
    </cfRule>
  </conditionalFormatting>
  <conditionalFormatting sqref="Y10:Y30">
    <cfRule type="cellIs" dxfId="307" priority="33" operator="lessThan">
      <formula>$Y$7</formula>
    </cfRule>
  </conditionalFormatting>
  <conditionalFormatting sqref="X11:X30">
    <cfRule type="cellIs" dxfId="306" priority="32" operator="lessThan">
      <formula>$X$7</formula>
    </cfRule>
  </conditionalFormatting>
  <conditionalFormatting sqref="Y11:Y30">
    <cfRule type="cellIs" dxfId="305" priority="31" operator="lessThan">
      <formula>$Y$7</formula>
    </cfRule>
  </conditionalFormatting>
  <conditionalFormatting sqref="X11:X30">
    <cfRule type="cellIs" dxfId="304" priority="30" operator="lessThan">
      <formula>$X$7</formula>
    </cfRule>
  </conditionalFormatting>
  <conditionalFormatting sqref="Y11:Y30">
    <cfRule type="cellIs" dxfId="303" priority="29" operator="lessThan">
      <formula>$Y$7</formula>
    </cfRule>
  </conditionalFormatting>
  <conditionalFormatting sqref="X10">
    <cfRule type="cellIs" dxfId="302" priority="28" operator="lessThan">
      <formula>$X$7</formula>
    </cfRule>
  </conditionalFormatting>
  <conditionalFormatting sqref="Y10">
    <cfRule type="cellIs" dxfId="301" priority="27" operator="lessThan">
      <formula>$Y$7</formula>
    </cfRule>
  </conditionalFormatting>
  <conditionalFormatting sqref="X10">
    <cfRule type="cellIs" dxfId="300" priority="26" operator="lessThan">
      <formula>$X$7</formula>
    </cfRule>
  </conditionalFormatting>
  <conditionalFormatting sqref="Y10">
    <cfRule type="cellIs" dxfId="299" priority="25" operator="lessThan">
      <formula>$Y$7</formula>
    </cfRule>
  </conditionalFormatting>
  <conditionalFormatting sqref="AA10:AA30">
    <cfRule type="cellIs" dxfId="298" priority="24" operator="lessThan">
      <formula>$AA$7</formula>
    </cfRule>
  </conditionalFormatting>
  <conditionalFormatting sqref="AB10:AB30">
    <cfRule type="cellIs" dxfId="297" priority="23" operator="lessThan">
      <formula>$AB$7</formula>
    </cfRule>
  </conditionalFormatting>
  <conditionalFormatting sqref="AA10:AA30">
    <cfRule type="cellIs" dxfId="296" priority="22" operator="lessThan">
      <formula>$AA$7</formula>
    </cfRule>
  </conditionalFormatting>
  <conditionalFormatting sqref="AB10:AB30">
    <cfRule type="cellIs" dxfId="295" priority="21" operator="lessThan">
      <formula>$AB$7</formula>
    </cfRule>
  </conditionalFormatting>
  <conditionalFormatting sqref="AA11:AA30">
    <cfRule type="cellIs" dxfId="294" priority="20" operator="lessThan">
      <formula>$AA$7</formula>
    </cfRule>
  </conditionalFormatting>
  <conditionalFormatting sqref="AB11:AB30">
    <cfRule type="cellIs" dxfId="293" priority="19" operator="lessThan">
      <formula>$AB$7</formula>
    </cfRule>
  </conditionalFormatting>
  <conditionalFormatting sqref="AA11:AA30">
    <cfRule type="cellIs" dxfId="292" priority="18" operator="lessThan">
      <formula>$AA$7</formula>
    </cfRule>
  </conditionalFormatting>
  <conditionalFormatting sqref="AB11:AB30">
    <cfRule type="cellIs" dxfId="291" priority="17" operator="lessThan">
      <formula>$AB$7</formula>
    </cfRule>
  </conditionalFormatting>
  <conditionalFormatting sqref="AA10">
    <cfRule type="cellIs" dxfId="290" priority="16" operator="lessThan">
      <formula>$AA$7</formula>
    </cfRule>
  </conditionalFormatting>
  <conditionalFormatting sqref="AB10">
    <cfRule type="cellIs" dxfId="289" priority="15" operator="lessThan">
      <formula>$AB$7</formula>
    </cfRule>
  </conditionalFormatting>
  <conditionalFormatting sqref="AA10">
    <cfRule type="cellIs" dxfId="288" priority="14" operator="lessThan">
      <formula>$AA$7</formula>
    </cfRule>
  </conditionalFormatting>
  <conditionalFormatting sqref="AB10">
    <cfRule type="cellIs" dxfId="287" priority="13" operator="lessThan">
      <formula>$AB$7</formula>
    </cfRule>
  </conditionalFormatting>
  <conditionalFormatting sqref="AD10:AD30">
    <cfRule type="cellIs" dxfId="286" priority="12" operator="lessThan">
      <formula>$AD$7</formula>
    </cfRule>
  </conditionalFormatting>
  <conditionalFormatting sqref="AE10:AE30">
    <cfRule type="cellIs" dxfId="285" priority="11" operator="lessThan">
      <formula>$AE$7</formula>
    </cfRule>
  </conditionalFormatting>
  <conditionalFormatting sqref="AD10:AD30">
    <cfRule type="cellIs" dxfId="284" priority="10" operator="lessThan">
      <formula>$AD$7</formula>
    </cfRule>
  </conditionalFormatting>
  <conditionalFormatting sqref="AE10:AE30">
    <cfRule type="cellIs" dxfId="283" priority="9" operator="lessThan">
      <formula>$AE$7</formula>
    </cfRule>
  </conditionalFormatting>
  <conditionalFormatting sqref="AD11:AD30">
    <cfRule type="cellIs" dxfId="282" priority="8" operator="lessThan">
      <formula>$AD$7</formula>
    </cfRule>
  </conditionalFormatting>
  <conditionalFormatting sqref="AE11:AE30">
    <cfRule type="cellIs" dxfId="281" priority="7" operator="lessThan">
      <formula>$AE$7</formula>
    </cfRule>
  </conditionalFormatting>
  <conditionalFormatting sqref="AD11:AD30">
    <cfRule type="cellIs" dxfId="280" priority="6" operator="lessThan">
      <formula>$AD$7</formula>
    </cfRule>
  </conditionalFormatting>
  <conditionalFormatting sqref="AE11:AE30">
    <cfRule type="cellIs" dxfId="279" priority="5" operator="lessThan">
      <formula>$AE$7</formula>
    </cfRule>
  </conditionalFormatting>
  <conditionalFormatting sqref="AD10">
    <cfRule type="cellIs" dxfId="278" priority="4" operator="lessThan">
      <formula>$AD$7</formula>
    </cfRule>
  </conditionalFormatting>
  <conditionalFormatting sqref="AE10">
    <cfRule type="cellIs" dxfId="277" priority="3" operator="lessThan">
      <formula>$AE$7</formula>
    </cfRule>
  </conditionalFormatting>
  <conditionalFormatting sqref="AD10">
    <cfRule type="cellIs" dxfId="276" priority="2" operator="lessThan">
      <formula>$AD$7</formula>
    </cfRule>
  </conditionalFormatting>
  <conditionalFormatting sqref="AE10">
    <cfRule type="cellIs" dxfId="275" priority="1" operator="lessThan">
      <formula>$AE$7</formula>
    </cfRule>
  </conditionalFormatting>
  <dataValidations count="2">
    <dataValidation type="decimal" allowBlank="1" showInputMessage="1" showErrorMessage="1" error="LIHAT PENGATURAN NILAI !" sqref="U7:V7 AJ7:AK7 R7:S7 AG7:AH7 AD7:AE7 I7:J7 F7:G7 AA7:AB7 X7:Y7 O7:P7 L7:M7 AA11:AB59 X11:Y59 U11:V59 R11:S59 O11:P59 L11:M59 I11:J59 F11:G59 AG10:AH59 AJ10:AK59 AD11:AE59">
      <formula1>$AW$12</formula1>
      <formula2>$AW$13</formula2>
    </dataValidation>
    <dataValidation type="decimal" allowBlank="1" showInputMessage="1" showErrorMessage="1" error="LIHAT PENGATURAN NILAI !" sqref="AD10:AE10 AA10:AB10 X10:Y10 U10:V10 R10:S10 O10:P10 L10:M10 I10:J10 F10:G10">
      <formula1>$AU$12</formula1>
      <formula2>$AU$13</formula2>
    </dataValidation>
  </dataValidations>
  <pageMargins left="0.31496062992125984" right="1.3779527559055118" top="0.35433070866141736" bottom="0.15748031496062992" header="0.31496062992125984" footer="0.31496062992125984"/>
  <pageSetup paperSize="5" scale="55" orientation="landscape" blackAndWhite="1" horizontalDpi="4294967293" verticalDpi="4294967293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X71"/>
  <sheetViews>
    <sheetView showGridLines="0" zoomScale="90" zoomScaleNormal="90" zoomScaleSheetLayoutView="80" workbookViewId="0">
      <pane xSplit="5" ySplit="9" topLeftCell="F28" activePane="bottomRight" state="frozen"/>
      <selection pane="topRight" activeCell="F1" sqref="F1"/>
      <selection pane="bottomLeft" activeCell="A10" sqref="A10"/>
      <selection pane="bottomRight" activeCell="AD10" sqref="AD10:AE29"/>
    </sheetView>
  </sheetViews>
  <sheetFormatPr defaultColWidth="0" defaultRowHeight="14.5"/>
  <cols>
    <col min="1" max="1" width="2.1796875" style="1" customWidth="1"/>
    <col min="2" max="2" width="5.26953125" style="1" customWidth="1"/>
    <col min="3" max="3" width="7.81640625" style="1" customWidth="1"/>
    <col min="4" max="4" width="38.26953125" style="1" customWidth="1"/>
    <col min="5" max="5" width="8.81640625" style="1" customWidth="1"/>
    <col min="6" max="38" width="6.1796875" style="1" customWidth="1"/>
    <col min="39" max="40" width="12" style="1" bestFit="1" customWidth="1"/>
    <col min="41" max="41" width="8" style="1" bestFit="1" customWidth="1"/>
    <col min="42" max="42" width="12" style="1" bestFit="1" customWidth="1"/>
    <col min="43" max="43" width="2.81640625" style="1" customWidth="1"/>
    <col min="44" max="44" width="11.1796875" style="1" customWidth="1"/>
    <col min="45" max="45" width="3.26953125" style="1" customWidth="1"/>
    <col min="46" max="46" width="2.1796875" style="1" customWidth="1"/>
    <col min="47" max="47" width="3.54296875" style="1" customWidth="1"/>
    <col min="48" max="48" width="19" style="1" customWidth="1"/>
    <col min="49" max="49" width="9.1796875" style="1" customWidth="1"/>
    <col min="50" max="50" width="2.453125" style="1" customWidth="1"/>
    <col min="51" max="16384" width="9.1796875" style="1" hidden="1"/>
  </cols>
  <sheetData>
    <row r="1" spans="2:49" ht="20">
      <c r="B1" s="447" t="s">
        <v>255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  <c r="AG1" s="447"/>
      <c r="AH1" s="447"/>
      <c r="AI1" s="447"/>
      <c r="AJ1" s="447"/>
      <c r="AK1" s="447"/>
      <c r="AL1" s="447"/>
      <c r="AM1" s="447"/>
      <c r="AN1" s="447"/>
      <c r="AO1" s="447"/>
      <c r="AP1" s="447"/>
    </row>
    <row r="2" spans="2:49" ht="6.65" customHeight="1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2:49" ht="15" customHeight="1">
      <c r="D3" s="27" t="s">
        <v>13</v>
      </c>
      <c r="E3" s="27"/>
      <c r="F3" s="29" t="s">
        <v>67</v>
      </c>
      <c r="G3" s="28" t="str">
        <f>UPPER(Nama_Sekolah)</f>
        <v>SEKOLAH DASAR NEGERI 1 GIRIHARJO</v>
      </c>
      <c r="H3" s="29"/>
      <c r="J3" s="28"/>
      <c r="K3" s="29"/>
      <c r="L3" s="213"/>
      <c r="M3" s="213"/>
      <c r="N3" s="29"/>
      <c r="O3" s="213"/>
      <c r="P3" s="213"/>
      <c r="Q3" s="29"/>
      <c r="R3" s="213"/>
      <c r="S3" s="213"/>
      <c r="T3" s="29"/>
      <c r="W3" s="29"/>
      <c r="Z3" s="29"/>
      <c r="AC3" s="29"/>
      <c r="AF3" s="29"/>
      <c r="AI3" s="29"/>
      <c r="AL3" s="29"/>
      <c r="AM3" s="29"/>
      <c r="AN3" s="29"/>
    </row>
    <row r="4" spans="2:49">
      <c r="D4" s="27" t="s">
        <v>14</v>
      </c>
      <c r="E4" s="27"/>
      <c r="F4" s="29" t="s">
        <v>67</v>
      </c>
      <c r="G4" s="28" t="str">
        <f>NPSN</f>
        <v>20311583</v>
      </c>
      <c r="H4" s="29"/>
      <c r="J4" s="28"/>
      <c r="K4" s="29"/>
      <c r="L4" s="213"/>
      <c r="M4" s="213"/>
      <c r="N4" s="29"/>
      <c r="O4" s="213"/>
      <c r="P4" s="213"/>
      <c r="Q4" s="29"/>
      <c r="R4" s="213"/>
      <c r="S4" s="213"/>
      <c r="T4" s="29"/>
      <c r="W4" s="29"/>
      <c r="Z4" s="29"/>
      <c r="AC4" s="29"/>
      <c r="AF4" s="29"/>
      <c r="AI4" s="29"/>
      <c r="AL4" s="29"/>
      <c r="AM4" s="29"/>
      <c r="AN4" s="29"/>
    </row>
    <row r="5" spans="2:49">
      <c r="D5" s="27" t="s">
        <v>68</v>
      </c>
      <c r="E5" s="27"/>
      <c r="F5" s="29" t="s">
        <v>67</v>
      </c>
      <c r="G5" s="28" t="str">
        <f>Kecamatan&amp;", "&amp;Kabupaten&amp;", "&amp;Provinsi</f>
        <v>Puhpelem, Wonogiri, Jawa Tengah</v>
      </c>
      <c r="H5" s="29"/>
      <c r="J5" s="28"/>
      <c r="K5" s="29"/>
      <c r="L5" s="213"/>
      <c r="M5" s="213"/>
      <c r="N5" s="29"/>
      <c r="O5" s="213"/>
      <c r="P5" s="213"/>
      <c r="Q5" s="29"/>
      <c r="R5" s="213"/>
      <c r="S5" s="213"/>
      <c r="T5" s="29"/>
      <c r="W5" s="29"/>
      <c r="Z5" s="29"/>
      <c r="AC5" s="29"/>
      <c r="AF5" s="29"/>
      <c r="AI5" s="29"/>
      <c r="AL5" s="29"/>
      <c r="AM5" s="29"/>
      <c r="AN5" s="29"/>
    </row>
    <row r="6" spans="2:49" ht="9" customHeight="1">
      <c r="D6" s="21"/>
      <c r="E6" s="21"/>
      <c r="F6" s="23"/>
      <c r="G6" s="23"/>
      <c r="H6" s="23"/>
      <c r="I6" s="22"/>
      <c r="J6" s="22"/>
      <c r="K6" s="23"/>
      <c r="N6" s="23"/>
      <c r="Q6" s="23"/>
      <c r="T6" s="23"/>
      <c r="W6" s="23"/>
      <c r="Z6" s="23"/>
      <c r="AC6" s="23"/>
      <c r="AF6" s="23"/>
      <c r="AI6" s="23"/>
      <c r="AL6" s="23"/>
      <c r="AM6" s="23"/>
      <c r="AN6" s="23"/>
    </row>
    <row r="7" spans="2:49" ht="17.25" customHeight="1">
      <c r="B7" s="459" t="s">
        <v>7</v>
      </c>
      <c r="C7" s="461" t="s">
        <v>43</v>
      </c>
      <c r="D7" s="459" t="s">
        <v>8</v>
      </c>
      <c r="E7" s="32" t="s">
        <v>66</v>
      </c>
      <c r="F7" s="51">
        <v>71</v>
      </c>
      <c r="G7" s="51">
        <v>71</v>
      </c>
      <c r="H7" s="444" t="s">
        <v>173</v>
      </c>
      <c r="I7" s="51">
        <v>71</v>
      </c>
      <c r="J7" s="51">
        <v>71</v>
      </c>
      <c r="K7" s="444" t="s">
        <v>173</v>
      </c>
      <c r="L7" s="51">
        <v>71</v>
      </c>
      <c r="M7" s="51">
        <v>71</v>
      </c>
      <c r="N7" s="444" t="s">
        <v>173</v>
      </c>
      <c r="O7" s="51">
        <v>65</v>
      </c>
      <c r="P7" s="51">
        <v>75</v>
      </c>
      <c r="Q7" s="444" t="s">
        <v>173</v>
      </c>
      <c r="R7" s="51">
        <v>70</v>
      </c>
      <c r="S7" s="51">
        <v>75</v>
      </c>
      <c r="T7" s="444" t="s">
        <v>173</v>
      </c>
      <c r="U7" s="51">
        <v>71</v>
      </c>
      <c r="V7" s="51">
        <v>71</v>
      </c>
      <c r="W7" s="444" t="s">
        <v>173</v>
      </c>
      <c r="X7" s="51">
        <v>71</v>
      </c>
      <c r="Y7" s="51">
        <v>71</v>
      </c>
      <c r="Z7" s="444" t="s">
        <v>173</v>
      </c>
      <c r="AA7" s="51">
        <v>71</v>
      </c>
      <c r="AB7" s="51">
        <v>71</v>
      </c>
      <c r="AC7" s="444" t="s">
        <v>173</v>
      </c>
      <c r="AD7" s="51">
        <v>71</v>
      </c>
      <c r="AE7" s="51">
        <v>71</v>
      </c>
      <c r="AF7" s="444" t="s">
        <v>173</v>
      </c>
      <c r="AG7" s="51">
        <v>71</v>
      </c>
      <c r="AH7" s="51">
        <v>71</v>
      </c>
      <c r="AI7" s="444" t="s">
        <v>173</v>
      </c>
      <c r="AJ7" s="51">
        <v>71</v>
      </c>
      <c r="AK7" s="51">
        <v>71</v>
      </c>
      <c r="AL7" s="444" t="s">
        <v>173</v>
      </c>
      <c r="AM7" s="465" t="s">
        <v>10</v>
      </c>
      <c r="AN7" s="466"/>
      <c r="AO7" s="455" t="s">
        <v>9</v>
      </c>
      <c r="AP7" s="457" t="s">
        <v>10</v>
      </c>
    </row>
    <row r="8" spans="2:49">
      <c r="B8" s="460"/>
      <c r="C8" s="462"/>
      <c r="D8" s="460"/>
      <c r="E8" s="32" t="s">
        <v>69</v>
      </c>
      <c r="F8" s="436" t="str">
        <f>PENGATURAN!F5</f>
        <v>Agama</v>
      </c>
      <c r="G8" s="437"/>
      <c r="H8" s="445"/>
      <c r="I8" s="438" t="str">
        <f>PENGATURAN!F6</f>
        <v>PKn</v>
      </c>
      <c r="J8" s="439"/>
      <c r="K8" s="445"/>
      <c r="L8" s="440" t="str">
        <f>PENGATURAN!F7</f>
        <v>B. Ind.</v>
      </c>
      <c r="M8" s="441"/>
      <c r="N8" s="445"/>
      <c r="O8" s="442" t="str">
        <f>PENGATURAN!F8</f>
        <v>MTK</v>
      </c>
      <c r="P8" s="443"/>
      <c r="Q8" s="445"/>
      <c r="R8" s="469" t="str">
        <f>PENGATURAN!F9</f>
        <v>IPA</v>
      </c>
      <c r="S8" s="470"/>
      <c r="T8" s="445"/>
      <c r="U8" s="448" t="str">
        <f>PENGATURAN!F10</f>
        <v xml:space="preserve">IPS </v>
      </c>
      <c r="V8" s="449"/>
      <c r="W8" s="445"/>
      <c r="X8" s="450" t="str">
        <f>PENGATURAN!F11</f>
        <v>SBdP</v>
      </c>
      <c r="Y8" s="449"/>
      <c r="Z8" s="445"/>
      <c r="AA8" s="451" t="str">
        <f>PENGATURAN!F12</f>
        <v>PJOK</v>
      </c>
      <c r="AB8" s="452"/>
      <c r="AC8" s="445"/>
      <c r="AD8" s="453" t="str">
        <f>PENGATURAN!F16</f>
        <v>Bahasa Jawa</v>
      </c>
      <c r="AE8" s="454"/>
      <c r="AF8" s="445"/>
      <c r="AG8" s="471">
        <f>PENGATURAN!F17</f>
        <v>0</v>
      </c>
      <c r="AH8" s="472"/>
      <c r="AI8" s="445"/>
      <c r="AJ8" s="463">
        <f>PENGATURAN!F18</f>
        <v>0</v>
      </c>
      <c r="AK8" s="464"/>
      <c r="AL8" s="445"/>
      <c r="AM8" s="467"/>
      <c r="AN8" s="468"/>
      <c r="AO8" s="456"/>
      <c r="AP8" s="458"/>
      <c r="AR8" s="34" t="s">
        <v>71</v>
      </c>
    </row>
    <row r="9" spans="2:49" ht="16" thickBot="1">
      <c r="B9" s="460"/>
      <c r="C9" s="462"/>
      <c r="D9" s="460"/>
      <c r="E9" s="220" t="s">
        <v>175</v>
      </c>
      <c r="F9" s="224" t="s">
        <v>171</v>
      </c>
      <c r="G9" s="223" t="s">
        <v>172</v>
      </c>
      <c r="H9" s="446"/>
      <c r="I9" s="222" t="s">
        <v>171</v>
      </c>
      <c r="J9" s="223" t="s">
        <v>172</v>
      </c>
      <c r="K9" s="446"/>
      <c r="L9" s="222" t="s">
        <v>171</v>
      </c>
      <c r="M9" s="223" t="s">
        <v>172</v>
      </c>
      <c r="N9" s="446"/>
      <c r="O9" s="222" t="s">
        <v>171</v>
      </c>
      <c r="P9" s="223" t="s">
        <v>172</v>
      </c>
      <c r="Q9" s="446"/>
      <c r="R9" s="222" t="s">
        <v>171</v>
      </c>
      <c r="S9" s="223" t="s">
        <v>172</v>
      </c>
      <c r="T9" s="446"/>
      <c r="U9" s="222" t="s">
        <v>171</v>
      </c>
      <c r="V9" s="223" t="s">
        <v>172</v>
      </c>
      <c r="W9" s="446"/>
      <c r="X9" s="222" t="s">
        <v>171</v>
      </c>
      <c r="Y9" s="223" t="s">
        <v>172</v>
      </c>
      <c r="Z9" s="446"/>
      <c r="AA9" s="222" t="s">
        <v>171</v>
      </c>
      <c r="AB9" s="223" t="s">
        <v>172</v>
      </c>
      <c r="AC9" s="446"/>
      <c r="AD9" s="222" t="s">
        <v>171</v>
      </c>
      <c r="AE9" s="223" t="s">
        <v>172</v>
      </c>
      <c r="AF9" s="446"/>
      <c r="AG9" s="222" t="s">
        <v>171</v>
      </c>
      <c r="AH9" s="223" t="s">
        <v>172</v>
      </c>
      <c r="AI9" s="446"/>
      <c r="AJ9" s="222" t="s">
        <v>171</v>
      </c>
      <c r="AK9" s="223" t="s">
        <v>172</v>
      </c>
      <c r="AL9" s="446"/>
      <c r="AM9" s="222" t="s">
        <v>171</v>
      </c>
      <c r="AN9" s="223" t="s">
        <v>172</v>
      </c>
      <c r="AO9" s="473"/>
      <c r="AP9" s="474"/>
      <c r="AR9" s="35" t="s">
        <v>176</v>
      </c>
    </row>
    <row r="10" spans="2:49" ht="15" thickTop="1">
      <c r="B10" s="226">
        <v>1</v>
      </c>
      <c r="C10" s="226" t="str">
        <f>'Data Siswa'!C4&amp;""</f>
        <v>2887</v>
      </c>
      <c r="D10" s="227" t="str">
        <f>'Data Siswa'!F4&amp;""</f>
        <v/>
      </c>
      <c r="E10" s="433"/>
      <c r="F10" s="194">
        <v>92</v>
      </c>
      <c r="G10" s="194">
        <v>83</v>
      </c>
      <c r="H10" s="398">
        <f>IFERROR(AVERAGE(F10:G10),"")</f>
        <v>87.5</v>
      </c>
      <c r="I10" s="194">
        <v>83</v>
      </c>
      <c r="J10" s="194">
        <v>82</v>
      </c>
      <c r="K10" s="398">
        <f>IFERROR(AVERAGE(I10:J10),"")</f>
        <v>82.5</v>
      </c>
      <c r="L10" s="294">
        <v>86</v>
      </c>
      <c r="M10" s="294">
        <v>87</v>
      </c>
      <c r="N10" s="398">
        <f>IFERROR(AVERAGE(L10:M10),"")</f>
        <v>86.5</v>
      </c>
      <c r="O10" s="194">
        <v>76</v>
      </c>
      <c r="P10" s="194">
        <v>70</v>
      </c>
      <c r="Q10" s="398">
        <f>IFERROR(AVERAGE(O10:P10),"")</f>
        <v>73</v>
      </c>
      <c r="R10" s="194">
        <v>84</v>
      </c>
      <c r="S10" s="194">
        <v>81</v>
      </c>
      <c r="T10" s="398">
        <f>IFERROR(AVERAGE(R10:S10),"")</f>
        <v>82.5</v>
      </c>
      <c r="U10" s="194">
        <v>85</v>
      </c>
      <c r="V10" s="194">
        <v>83</v>
      </c>
      <c r="W10" s="398">
        <f>IFERROR(AVERAGE(U10:V10),"")</f>
        <v>84</v>
      </c>
      <c r="X10" s="194">
        <v>80</v>
      </c>
      <c r="Y10" s="194">
        <v>86</v>
      </c>
      <c r="Z10" s="398">
        <f>IFERROR(AVERAGE(X10:Y10),"")</f>
        <v>83</v>
      </c>
      <c r="AA10" s="194">
        <v>89</v>
      </c>
      <c r="AB10" s="194">
        <v>82</v>
      </c>
      <c r="AC10" s="398">
        <f>IFERROR(AVERAGE(AA10:AB10),"")</f>
        <v>85.5</v>
      </c>
      <c r="AD10" s="194">
        <v>78</v>
      </c>
      <c r="AE10" s="194">
        <v>82</v>
      </c>
      <c r="AF10" s="398">
        <f>IFERROR(AVERAGE(AD10:AE10),"")</f>
        <v>80</v>
      </c>
      <c r="AG10" s="49"/>
      <c r="AH10" s="49"/>
      <c r="AI10" s="398" t="str">
        <f>IFERROR(AVERAGE(AG10:AH10),"")</f>
        <v/>
      </c>
      <c r="AJ10" s="49"/>
      <c r="AK10" s="49"/>
      <c r="AL10" s="398" t="str">
        <f>IFERROR(AVERAGE(AJ10:AK10),"")</f>
        <v/>
      </c>
      <c r="AM10" s="396">
        <f>IFERROR(AVERAGE(F10,I10,L10,O10,R10,U10,X10,AA10,AD10,AG10,AJ10),"")</f>
        <v>83.666666666666671</v>
      </c>
      <c r="AN10" s="396">
        <f>IFERROR(AVERAGE(G10,J10,M10,P10,S10,V10,Y10,AB10,AE10,AH10,AK10),"")</f>
        <v>81.777777777777771</v>
      </c>
      <c r="AO10" s="396">
        <f>IF(SUM(H10,K10,N10,Q10,T10,W10,Z10,AC10,AF10,AI10,AL10)=0,"",SUM(H10,K10,N10,Q10,T10,W10,Z10,AC10,AF10,AI10,AL10))</f>
        <v>744.5</v>
      </c>
      <c r="AP10" s="396">
        <f>IFERROR(AVERAGE(H10,K10,N10,Q10,T10,W10,Z10,AC10,AF10,AI10,AL10),"")</f>
        <v>82.722222222222229</v>
      </c>
      <c r="AQ10" s="19"/>
      <c r="AR10" s="35" t="str">
        <f t="shared" ref="AR10:AR41" si="0">IF(D10="","Sembunyikan","Data")</f>
        <v>Sembunyikan</v>
      </c>
    </row>
    <row r="11" spans="2:49">
      <c r="B11" s="7">
        <v>2</v>
      </c>
      <c r="C11" s="7" t="str">
        <f>'Data Siswa'!C5&amp;""</f>
        <v>2888</v>
      </c>
      <c r="D11" s="11" t="str">
        <f>'Data Siswa'!F5&amp;""</f>
        <v/>
      </c>
      <c r="E11" s="434"/>
      <c r="F11" s="50">
        <v>79</v>
      </c>
      <c r="G11" s="50">
        <v>80</v>
      </c>
      <c r="H11" s="397">
        <f t="shared" ref="H11:H59" si="1">IFERROR(AVERAGE(F11:G11),"")</f>
        <v>79.5</v>
      </c>
      <c r="I11" s="50">
        <v>90</v>
      </c>
      <c r="J11" s="50">
        <v>91</v>
      </c>
      <c r="K11" s="397">
        <f t="shared" ref="K11:K59" si="2">IFERROR(AVERAGE(I11:J11),"")</f>
        <v>90.5</v>
      </c>
      <c r="L11" s="50">
        <v>84</v>
      </c>
      <c r="M11" s="50">
        <v>93</v>
      </c>
      <c r="N11" s="397">
        <f t="shared" ref="N11:N59" si="3">IFERROR(AVERAGE(L11:M11),"")</f>
        <v>88.5</v>
      </c>
      <c r="O11" s="50">
        <v>81</v>
      </c>
      <c r="P11" s="50">
        <v>82</v>
      </c>
      <c r="Q11" s="397">
        <f t="shared" ref="Q11:Q59" si="4">IFERROR(AVERAGE(O11:P11),"")</f>
        <v>81.5</v>
      </c>
      <c r="R11" s="50">
        <v>88</v>
      </c>
      <c r="S11" s="50">
        <v>90</v>
      </c>
      <c r="T11" s="397">
        <f t="shared" ref="T11:T59" si="5">IFERROR(AVERAGE(R11:S11),"")</f>
        <v>89</v>
      </c>
      <c r="U11" s="50">
        <v>93</v>
      </c>
      <c r="V11" s="50">
        <v>91</v>
      </c>
      <c r="W11" s="397">
        <f t="shared" ref="W11:W59" si="6">IFERROR(AVERAGE(U11:V11),"")</f>
        <v>92</v>
      </c>
      <c r="X11" s="50">
        <v>86</v>
      </c>
      <c r="Y11" s="50">
        <v>94</v>
      </c>
      <c r="Z11" s="397">
        <f t="shared" ref="Z11:Z59" si="7">IFERROR(AVERAGE(X11:Y11),"")</f>
        <v>90</v>
      </c>
      <c r="AA11" s="50">
        <v>82</v>
      </c>
      <c r="AB11" s="50">
        <v>80</v>
      </c>
      <c r="AC11" s="397">
        <f t="shared" ref="AC11:AC59" si="8">IFERROR(AVERAGE(AA11:AB11),"")</f>
        <v>81</v>
      </c>
      <c r="AD11" s="50">
        <v>84</v>
      </c>
      <c r="AE11" s="50">
        <v>88</v>
      </c>
      <c r="AF11" s="397">
        <f t="shared" ref="AF11:AF59" si="9">IFERROR(AVERAGE(AD11:AE11),"")</f>
        <v>86</v>
      </c>
      <c r="AG11" s="49"/>
      <c r="AH11" s="50"/>
      <c r="AI11" s="397" t="str">
        <f t="shared" ref="AI11:AI59" si="10">IFERROR(AVERAGE(AG11:AH11),"")</f>
        <v/>
      </c>
      <c r="AJ11" s="50"/>
      <c r="AK11" s="50"/>
      <c r="AL11" s="397" t="str">
        <f t="shared" ref="AL11:AL59" si="11">IFERROR(AVERAGE(AJ11:AK11),"")</f>
        <v/>
      </c>
      <c r="AM11" s="396">
        <f t="shared" ref="AM11:AN59" si="12">IFERROR(AVERAGE(F11,I11,L11,O11,R11,U11,X11,AA11,AD11,AG11,AJ11),"")</f>
        <v>85.222222222222229</v>
      </c>
      <c r="AN11" s="396">
        <f t="shared" si="12"/>
        <v>87.666666666666671</v>
      </c>
      <c r="AO11" s="396">
        <f t="shared" ref="AO11:AO59" si="13">IF(SUM(H11,K11,N11,Q11,T11,W11,Z11,AC11,AF11,AI11,AL11)=0,"",SUM(H11,K11,N11,Q11,T11,W11,Z11,AC11,AF11,AI11,AL11))</f>
        <v>778</v>
      </c>
      <c r="AP11" s="396">
        <f t="shared" ref="AP11:AP59" si="14">IFERROR(AVERAGE(H11,K11,N11,Q11,T11,W11,Z11,AC11,AF11,AI11,AL11),"")</f>
        <v>86.444444444444443</v>
      </c>
      <c r="AR11" s="35" t="str">
        <f t="shared" si="0"/>
        <v>Sembunyikan</v>
      </c>
      <c r="AV11" s="4" t="s">
        <v>46</v>
      </c>
      <c r="AW11" s="5"/>
    </row>
    <row r="12" spans="2:49">
      <c r="B12" s="7">
        <v>3</v>
      </c>
      <c r="C12" s="7" t="str">
        <f>'Data Siswa'!C6&amp;""</f>
        <v>2886</v>
      </c>
      <c r="D12" s="11" t="str">
        <f>'Data Siswa'!F6&amp;""</f>
        <v/>
      </c>
      <c r="E12" s="434"/>
      <c r="F12" s="50">
        <v>91</v>
      </c>
      <c r="G12" s="50">
        <v>82</v>
      </c>
      <c r="H12" s="397">
        <f t="shared" si="1"/>
        <v>86.5</v>
      </c>
      <c r="I12" s="50">
        <v>78</v>
      </c>
      <c r="J12" s="50">
        <v>83</v>
      </c>
      <c r="K12" s="397">
        <f t="shared" si="2"/>
        <v>80.5</v>
      </c>
      <c r="L12" s="50">
        <v>77</v>
      </c>
      <c r="M12" s="50">
        <v>81</v>
      </c>
      <c r="N12" s="397">
        <f t="shared" si="3"/>
        <v>79</v>
      </c>
      <c r="O12" s="50">
        <v>69</v>
      </c>
      <c r="P12" s="50">
        <v>73</v>
      </c>
      <c r="Q12" s="397">
        <f t="shared" si="4"/>
        <v>71</v>
      </c>
      <c r="R12" s="50">
        <v>75</v>
      </c>
      <c r="S12" s="50">
        <v>79</v>
      </c>
      <c r="T12" s="397">
        <f t="shared" si="5"/>
        <v>77</v>
      </c>
      <c r="U12" s="50">
        <v>75</v>
      </c>
      <c r="V12" s="50">
        <v>79</v>
      </c>
      <c r="W12" s="397">
        <f t="shared" si="6"/>
        <v>77</v>
      </c>
      <c r="X12" s="50">
        <v>74</v>
      </c>
      <c r="Y12" s="50">
        <v>79</v>
      </c>
      <c r="Z12" s="397">
        <f t="shared" si="7"/>
        <v>76.5</v>
      </c>
      <c r="AA12" s="50">
        <v>84</v>
      </c>
      <c r="AB12" s="50">
        <v>81</v>
      </c>
      <c r="AC12" s="397">
        <f t="shared" si="8"/>
        <v>82.5</v>
      </c>
      <c r="AD12" s="50">
        <v>75</v>
      </c>
      <c r="AE12" s="50">
        <v>76</v>
      </c>
      <c r="AF12" s="397">
        <f t="shared" si="9"/>
        <v>75.5</v>
      </c>
      <c r="AG12" s="49"/>
      <c r="AH12" s="50"/>
      <c r="AI12" s="397" t="str">
        <f t="shared" si="10"/>
        <v/>
      </c>
      <c r="AJ12" s="50"/>
      <c r="AK12" s="50"/>
      <c r="AL12" s="397" t="str">
        <f t="shared" si="11"/>
        <v/>
      </c>
      <c r="AM12" s="396">
        <f t="shared" si="12"/>
        <v>77.555555555555557</v>
      </c>
      <c r="AN12" s="396">
        <f t="shared" si="12"/>
        <v>79.222222222222229</v>
      </c>
      <c r="AO12" s="396">
        <f t="shared" si="13"/>
        <v>705.5</v>
      </c>
      <c r="AP12" s="396">
        <f t="shared" si="14"/>
        <v>78.388888888888886</v>
      </c>
      <c r="AR12" s="35" t="str">
        <f t="shared" si="0"/>
        <v>Sembunyikan</v>
      </c>
      <c r="AV12" s="6" t="s">
        <v>44</v>
      </c>
      <c r="AW12" s="2">
        <f>PENGATURAN!K5</f>
        <v>10</v>
      </c>
    </row>
    <row r="13" spans="2:49">
      <c r="B13" s="7">
        <v>4</v>
      </c>
      <c r="C13" s="7" t="str">
        <f>'Data Siswa'!C7&amp;""</f>
        <v>2864</v>
      </c>
      <c r="D13" s="11" t="str">
        <f>'Data Siswa'!F7&amp;""</f>
        <v/>
      </c>
      <c r="E13" s="434"/>
      <c r="F13" s="50">
        <v>84</v>
      </c>
      <c r="G13" s="50">
        <v>79</v>
      </c>
      <c r="H13" s="397">
        <f t="shared" si="1"/>
        <v>81.5</v>
      </c>
      <c r="I13" s="50">
        <v>86</v>
      </c>
      <c r="J13" s="50">
        <v>86</v>
      </c>
      <c r="K13" s="397">
        <f t="shared" si="2"/>
        <v>86</v>
      </c>
      <c r="L13" s="50">
        <v>84</v>
      </c>
      <c r="M13" s="50">
        <v>91</v>
      </c>
      <c r="N13" s="397">
        <f t="shared" si="3"/>
        <v>87.5</v>
      </c>
      <c r="O13" s="50">
        <v>83</v>
      </c>
      <c r="P13" s="50">
        <v>74</v>
      </c>
      <c r="Q13" s="397">
        <f t="shared" si="4"/>
        <v>78.5</v>
      </c>
      <c r="R13" s="50">
        <v>85</v>
      </c>
      <c r="S13" s="50">
        <v>79</v>
      </c>
      <c r="T13" s="397">
        <f t="shared" si="5"/>
        <v>82</v>
      </c>
      <c r="U13" s="50">
        <v>89</v>
      </c>
      <c r="V13" s="50">
        <v>82</v>
      </c>
      <c r="W13" s="397">
        <f t="shared" si="6"/>
        <v>85.5</v>
      </c>
      <c r="X13" s="50">
        <v>89</v>
      </c>
      <c r="Y13" s="50">
        <v>90</v>
      </c>
      <c r="Z13" s="397">
        <f t="shared" si="7"/>
        <v>89.5</v>
      </c>
      <c r="AA13" s="50">
        <v>83</v>
      </c>
      <c r="AB13" s="50">
        <v>82</v>
      </c>
      <c r="AC13" s="397">
        <f t="shared" si="8"/>
        <v>82.5</v>
      </c>
      <c r="AD13" s="50">
        <v>82</v>
      </c>
      <c r="AE13" s="50">
        <v>83</v>
      </c>
      <c r="AF13" s="397">
        <f t="shared" si="9"/>
        <v>82.5</v>
      </c>
      <c r="AG13" s="49"/>
      <c r="AH13" s="50"/>
      <c r="AI13" s="397" t="str">
        <f t="shared" si="10"/>
        <v/>
      </c>
      <c r="AJ13" s="50"/>
      <c r="AK13" s="50"/>
      <c r="AL13" s="397" t="str">
        <f t="shared" si="11"/>
        <v/>
      </c>
      <c r="AM13" s="396">
        <f t="shared" si="12"/>
        <v>85</v>
      </c>
      <c r="AN13" s="396">
        <f t="shared" si="12"/>
        <v>82.888888888888886</v>
      </c>
      <c r="AO13" s="396">
        <f t="shared" si="13"/>
        <v>755.5</v>
      </c>
      <c r="AP13" s="396">
        <f t="shared" si="14"/>
        <v>83.944444444444443</v>
      </c>
      <c r="AR13" s="35" t="str">
        <f t="shared" si="0"/>
        <v>Sembunyikan</v>
      </c>
      <c r="AV13" s="6" t="s">
        <v>45</v>
      </c>
      <c r="AW13" s="2">
        <f>PENGATURAN!K6</f>
        <v>100</v>
      </c>
    </row>
    <row r="14" spans="2:49">
      <c r="B14" s="7">
        <v>5</v>
      </c>
      <c r="C14" s="7" t="str">
        <f>'Data Siswa'!C8&amp;""</f>
        <v>2890</v>
      </c>
      <c r="D14" s="11" t="str">
        <f>'Data Siswa'!F8&amp;""</f>
        <v/>
      </c>
      <c r="E14" s="434"/>
      <c r="F14" s="50">
        <v>84</v>
      </c>
      <c r="G14" s="50">
        <v>89</v>
      </c>
      <c r="H14" s="397">
        <f t="shared" si="1"/>
        <v>86.5</v>
      </c>
      <c r="I14" s="50">
        <v>87</v>
      </c>
      <c r="J14" s="50">
        <v>86</v>
      </c>
      <c r="K14" s="397">
        <f t="shared" si="2"/>
        <v>86.5</v>
      </c>
      <c r="L14" s="50">
        <v>85</v>
      </c>
      <c r="M14" s="50">
        <v>92</v>
      </c>
      <c r="N14" s="397">
        <f t="shared" si="3"/>
        <v>88.5</v>
      </c>
      <c r="O14" s="50">
        <v>89</v>
      </c>
      <c r="P14" s="50">
        <v>83</v>
      </c>
      <c r="Q14" s="397">
        <f t="shared" si="4"/>
        <v>86</v>
      </c>
      <c r="R14" s="50">
        <v>86</v>
      </c>
      <c r="S14" s="50">
        <v>85</v>
      </c>
      <c r="T14" s="397">
        <f t="shared" si="5"/>
        <v>85.5</v>
      </c>
      <c r="U14" s="50">
        <v>89</v>
      </c>
      <c r="V14" s="50">
        <v>84</v>
      </c>
      <c r="W14" s="397">
        <f t="shared" si="6"/>
        <v>86.5</v>
      </c>
      <c r="X14" s="50">
        <v>81</v>
      </c>
      <c r="Y14" s="50">
        <v>91</v>
      </c>
      <c r="Z14" s="397">
        <f t="shared" si="7"/>
        <v>86</v>
      </c>
      <c r="AA14" s="50">
        <v>85</v>
      </c>
      <c r="AB14" s="50">
        <v>83</v>
      </c>
      <c r="AC14" s="397">
        <f t="shared" si="8"/>
        <v>84</v>
      </c>
      <c r="AD14" s="50">
        <v>86</v>
      </c>
      <c r="AE14" s="50">
        <v>83</v>
      </c>
      <c r="AF14" s="397">
        <f t="shared" si="9"/>
        <v>84.5</v>
      </c>
      <c r="AG14" s="49"/>
      <c r="AH14" s="50"/>
      <c r="AI14" s="397" t="str">
        <f t="shared" si="10"/>
        <v/>
      </c>
      <c r="AJ14" s="50"/>
      <c r="AK14" s="50"/>
      <c r="AL14" s="397" t="str">
        <f t="shared" si="11"/>
        <v/>
      </c>
      <c r="AM14" s="396">
        <f t="shared" si="12"/>
        <v>85.777777777777771</v>
      </c>
      <c r="AN14" s="396">
        <f t="shared" si="12"/>
        <v>86.222222222222229</v>
      </c>
      <c r="AO14" s="396">
        <f t="shared" si="13"/>
        <v>774</v>
      </c>
      <c r="AP14" s="396">
        <f t="shared" si="14"/>
        <v>86</v>
      </c>
      <c r="AR14" s="35" t="str">
        <f t="shared" si="0"/>
        <v>Sembunyikan</v>
      </c>
    </row>
    <row r="15" spans="2:49">
      <c r="B15" s="7">
        <v>6</v>
      </c>
      <c r="C15" s="7" t="str">
        <f>'Data Siswa'!C9&amp;""</f>
        <v>2889</v>
      </c>
      <c r="D15" s="11" t="str">
        <f>'Data Siswa'!F9&amp;""</f>
        <v/>
      </c>
      <c r="E15" s="434"/>
      <c r="F15" s="50">
        <v>86</v>
      </c>
      <c r="G15" s="50">
        <v>81</v>
      </c>
      <c r="H15" s="397">
        <f t="shared" si="1"/>
        <v>83.5</v>
      </c>
      <c r="I15" s="50">
        <v>87</v>
      </c>
      <c r="J15" s="50">
        <v>89</v>
      </c>
      <c r="K15" s="397">
        <f t="shared" si="2"/>
        <v>88</v>
      </c>
      <c r="L15" s="50">
        <v>82</v>
      </c>
      <c r="M15" s="50">
        <v>91</v>
      </c>
      <c r="N15" s="397">
        <f t="shared" si="3"/>
        <v>86.5</v>
      </c>
      <c r="O15" s="50">
        <v>85</v>
      </c>
      <c r="P15" s="50">
        <v>82</v>
      </c>
      <c r="Q15" s="397">
        <f t="shared" si="4"/>
        <v>83.5</v>
      </c>
      <c r="R15" s="50">
        <v>85</v>
      </c>
      <c r="S15" s="50">
        <v>88</v>
      </c>
      <c r="T15" s="397">
        <f t="shared" si="5"/>
        <v>86.5</v>
      </c>
      <c r="U15" s="50">
        <v>86</v>
      </c>
      <c r="V15" s="50">
        <v>85</v>
      </c>
      <c r="W15" s="397">
        <f t="shared" si="6"/>
        <v>85.5</v>
      </c>
      <c r="X15" s="50">
        <v>80</v>
      </c>
      <c r="Y15" s="50">
        <v>89</v>
      </c>
      <c r="Z15" s="397">
        <f t="shared" si="7"/>
        <v>84.5</v>
      </c>
      <c r="AA15" s="50">
        <v>85</v>
      </c>
      <c r="AB15" s="50">
        <v>83</v>
      </c>
      <c r="AC15" s="397">
        <f t="shared" si="8"/>
        <v>84</v>
      </c>
      <c r="AD15" s="50">
        <v>81</v>
      </c>
      <c r="AE15" s="50">
        <v>76</v>
      </c>
      <c r="AF15" s="397">
        <f t="shared" si="9"/>
        <v>78.5</v>
      </c>
      <c r="AG15" s="49"/>
      <c r="AH15" s="50"/>
      <c r="AI15" s="397" t="str">
        <f t="shared" si="10"/>
        <v/>
      </c>
      <c r="AJ15" s="50"/>
      <c r="AK15" s="50"/>
      <c r="AL15" s="397" t="str">
        <f t="shared" si="11"/>
        <v/>
      </c>
      <c r="AM15" s="396">
        <f t="shared" si="12"/>
        <v>84.111111111111114</v>
      </c>
      <c r="AN15" s="396">
        <f t="shared" si="12"/>
        <v>84.888888888888886</v>
      </c>
      <c r="AO15" s="396">
        <f t="shared" si="13"/>
        <v>760.5</v>
      </c>
      <c r="AP15" s="396">
        <f t="shared" si="14"/>
        <v>84.5</v>
      </c>
      <c r="AR15" s="35" t="str">
        <f t="shared" si="0"/>
        <v>Sembunyikan</v>
      </c>
    </row>
    <row r="16" spans="2:49">
      <c r="B16" s="7">
        <v>7</v>
      </c>
      <c r="C16" s="7" t="str">
        <f>'Data Siswa'!C10&amp;""</f>
        <v>2891</v>
      </c>
      <c r="D16" s="11" t="str">
        <f>'Data Siswa'!F10&amp;""</f>
        <v/>
      </c>
      <c r="E16" s="434"/>
      <c r="F16" s="50">
        <v>89</v>
      </c>
      <c r="G16" s="50">
        <v>89</v>
      </c>
      <c r="H16" s="397">
        <f t="shared" si="1"/>
        <v>89</v>
      </c>
      <c r="I16" s="50">
        <v>92</v>
      </c>
      <c r="J16" s="50">
        <v>88</v>
      </c>
      <c r="K16" s="397">
        <f t="shared" si="2"/>
        <v>90</v>
      </c>
      <c r="L16" s="50">
        <v>85</v>
      </c>
      <c r="M16" s="50">
        <v>90</v>
      </c>
      <c r="N16" s="397">
        <f t="shared" si="3"/>
        <v>87.5</v>
      </c>
      <c r="O16" s="50">
        <v>84</v>
      </c>
      <c r="P16" s="50">
        <v>83</v>
      </c>
      <c r="Q16" s="397">
        <f t="shared" si="4"/>
        <v>83.5</v>
      </c>
      <c r="R16" s="50">
        <v>86</v>
      </c>
      <c r="S16" s="50">
        <v>85</v>
      </c>
      <c r="T16" s="397">
        <f t="shared" si="5"/>
        <v>85.5</v>
      </c>
      <c r="U16" s="50">
        <v>91</v>
      </c>
      <c r="V16" s="50">
        <v>89</v>
      </c>
      <c r="W16" s="397">
        <f t="shared" si="6"/>
        <v>90</v>
      </c>
      <c r="X16" s="50">
        <v>79</v>
      </c>
      <c r="Y16" s="50">
        <v>85</v>
      </c>
      <c r="Z16" s="397">
        <f t="shared" si="7"/>
        <v>82</v>
      </c>
      <c r="AA16" s="50">
        <v>87</v>
      </c>
      <c r="AB16" s="50">
        <v>83</v>
      </c>
      <c r="AC16" s="397">
        <f t="shared" si="8"/>
        <v>85</v>
      </c>
      <c r="AD16" s="50">
        <v>80</v>
      </c>
      <c r="AE16" s="50">
        <v>85</v>
      </c>
      <c r="AF16" s="397">
        <f t="shared" si="9"/>
        <v>82.5</v>
      </c>
      <c r="AG16" s="49"/>
      <c r="AH16" s="50"/>
      <c r="AI16" s="397" t="str">
        <f t="shared" si="10"/>
        <v/>
      </c>
      <c r="AJ16" s="50"/>
      <c r="AK16" s="50"/>
      <c r="AL16" s="397" t="str">
        <f t="shared" si="11"/>
        <v/>
      </c>
      <c r="AM16" s="396">
        <f t="shared" si="12"/>
        <v>85.888888888888886</v>
      </c>
      <c r="AN16" s="396">
        <f t="shared" si="12"/>
        <v>86.333333333333329</v>
      </c>
      <c r="AO16" s="396">
        <f t="shared" si="13"/>
        <v>775</v>
      </c>
      <c r="AP16" s="396">
        <f t="shared" si="14"/>
        <v>86.111111111111114</v>
      </c>
      <c r="AR16" s="35" t="str">
        <f t="shared" si="0"/>
        <v>Sembunyikan</v>
      </c>
    </row>
    <row r="17" spans="2:44">
      <c r="B17" s="7">
        <v>8</v>
      </c>
      <c r="C17" s="7" t="str">
        <f>'Data Siswa'!C11&amp;""</f>
        <v>2893</v>
      </c>
      <c r="D17" s="11" t="str">
        <f>'Data Siswa'!F11&amp;""</f>
        <v/>
      </c>
      <c r="E17" s="434"/>
      <c r="F17" s="50">
        <v>89</v>
      </c>
      <c r="G17" s="50">
        <v>80</v>
      </c>
      <c r="H17" s="397">
        <f t="shared" si="1"/>
        <v>84.5</v>
      </c>
      <c r="I17" s="50">
        <v>87</v>
      </c>
      <c r="J17" s="50">
        <v>84</v>
      </c>
      <c r="K17" s="397">
        <f t="shared" si="2"/>
        <v>85.5</v>
      </c>
      <c r="L17" s="50">
        <v>85</v>
      </c>
      <c r="M17" s="50">
        <v>92</v>
      </c>
      <c r="N17" s="397">
        <f t="shared" si="3"/>
        <v>88.5</v>
      </c>
      <c r="O17" s="50">
        <v>88</v>
      </c>
      <c r="P17" s="50">
        <v>79</v>
      </c>
      <c r="Q17" s="397">
        <f t="shared" si="4"/>
        <v>83.5</v>
      </c>
      <c r="R17" s="50">
        <v>86</v>
      </c>
      <c r="S17" s="50">
        <v>83</v>
      </c>
      <c r="T17" s="397">
        <f t="shared" si="5"/>
        <v>84.5</v>
      </c>
      <c r="U17" s="50">
        <v>88</v>
      </c>
      <c r="V17" s="50">
        <v>85</v>
      </c>
      <c r="W17" s="397">
        <f t="shared" si="6"/>
        <v>86.5</v>
      </c>
      <c r="X17" s="50">
        <v>88</v>
      </c>
      <c r="Y17" s="50">
        <v>88</v>
      </c>
      <c r="Z17" s="397">
        <f t="shared" si="7"/>
        <v>88</v>
      </c>
      <c r="AA17" s="50">
        <v>87</v>
      </c>
      <c r="AB17" s="50">
        <v>83</v>
      </c>
      <c r="AC17" s="397">
        <f t="shared" si="8"/>
        <v>85</v>
      </c>
      <c r="AD17" s="50">
        <v>89</v>
      </c>
      <c r="AE17" s="50">
        <v>81</v>
      </c>
      <c r="AF17" s="397">
        <f t="shared" si="9"/>
        <v>85</v>
      </c>
      <c r="AG17" s="49"/>
      <c r="AH17" s="50"/>
      <c r="AI17" s="397" t="str">
        <f t="shared" si="10"/>
        <v/>
      </c>
      <c r="AJ17" s="50"/>
      <c r="AK17" s="50"/>
      <c r="AL17" s="397" t="str">
        <f t="shared" si="11"/>
        <v/>
      </c>
      <c r="AM17" s="396">
        <f t="shared" si="12"/>
        <v>87.444444444444443</v>
      </c>
      <c r="AN17" s="396">
        <f t="shared" si="12"/>
        <v>83.888888888888886</v>
      </c>
      <c r="AO17" s="396">
        <f t="shared" si="13"/>
        <v>771</v>
      </c>
      <c r="AP17" s="396">
        <f t="shared" si="14"/>
        <v>85.666666666666671</v>
      </c>
      <c r="AR17" s="35" t="str">
        <f t="shared" si="0"/>
        <v>Sembunyikan</v>
      </c>
    </row>
    <row r="18" spans="2:44">
      <c r="B18" s="7">
        <v>9</v>
      </c>
      <c r="C18" s="7" t="str">
        <f>'Data Siswa'!C12&amp;""</f>
        <v>2892</v>
      </c>
      <c r="D18" s="11" t="str">
        <f>'Data Siswa'!F12&amp;""</f>
        <v/>
      </c>
      <c r="E18" s="434"/>
      <c r="F18" s="50">
        <v>95</v>
      </c>
      <c r="G18" s="50">
        <v>91</v>
      </c>
      <c r="H18" s="397">
        <f t="shared" si="1"/>
        <v>93</v>
      </c>
      <c r="I18" s="50">
        <v>91</v>
      </c>
      <c r="J18" s="50">
        <v>94</v>
      </c>
      <c r="K18" s="397">
        <f t="shared" si="2"/>
        <v>92.5</v>
      </c>
      <c r="L18" s="50">
        <v>94</v>
      </c>
      <c r="M18" s="50">
        <v>88</v>
      </c>
      <c r="N18" s="397">
        <f t="shared" si="3"/>
        <v>91</v>
      </c>
      <c r="O18" s="50">
        <v>94</v>
      </c>
      <c r="P18" s="50">
        <v>96</v>
      </c>
      <c r="Q18" s="397">
        <f t="shared" si="4"/>
        <v>95</v>
      </c>
      <c r="R18" s="50">
        <v>88</v>
      </c>
      <c r="S18" s="50">
        <v>92</v>
      </c>
      <c r="T18" s="397">
        <f t="shared" si="5"/>
        <v>90</v>
      </c>
      <c r="U18" s="50">
        <v>95</v>
      </c>
      <c r="V18" s="50">
        <v>93</v>
      </c>
      <c r="W18" s="397">
        <f t="shared" si="6"/>
        <v>94</v>
      </c>
      <c r="X18" s="50">
        <v>93</v>
      </c>
      <c r="Y18" s="50">
        <v>93</v>
      </c>
      <c r="Z18" s="397">
        <f t="shared" si="7"/>
        <v>93</v>
      </c>
      <c r="AA18" s="50">
        <v>89</v>
      </c>
      <c r="AB18" s="50">
        <v>82</v>
      </c>
      <c r="AC18" s="397">
        <f t="shared" si="8"/>
        <v>85.5</v>
      </c>
      <c r="AD18" s="50">
        <v>84</v>
      </c>
      <c r="AE18" s="50">
        <v>86</v>
      </c>
      <c r="AF18" s="397">
        <f t="shared" si="9"/>
        <v>85</v>
      </c>
      <c r="AG18" s="49"/>
      <c r="AH18" s="50"/>
      <c r="AI18" s="397" t="str">
        <f t="shared" si="10"/>
        <v/>
      </c>
      <c r="AJ18" s="50"/>
      <c r="AK18" s="50"/>
      <c r="AL18" s="397" t="str">
        <f t="shared" si="11"/>
        <v/>
      </c>
      <c r="AM18" s="396">
        <f t="shared" si="12"/>
        <v>91.444444444444443</v>
      </c>
      <c r="AN18" s="396">
        <f t="shared" si="12"/>
        <v>90.555555555555557</v>
      </c>
      <c r="AO18" s="396">
        <f t="shared" si="13"/>
        <v>819</v>
      </c>
      <c r="AP18" s="396">
        <f t="shared" si="14"/>
        <v>91</v>
      </c>
      <c r="AR18" s="35" t="str">
        <f t="shared" si="0"/>
        <v>Sembunyikan</v>
      </c>
    </row>
    <row r="19" spans="2:44">
      <c r="B19" s="7">
        <v>10</v>
      </c>
      <c r="C19" s="7" t="str">
        <f>'Data Siswa'!C13&amp;""</f>
        <v>2894</v>
      </c>
      <c r="D19" s="11" t="str">
        <f>'Data Siswa'!F13&amp;""</f>
        <v/>
      </c>
      <c r="E19" s="434"/>
      <c r="F19" s="50">
        <v>93</v>
      </c>
      <c r="G19" s="50">
        <v>85</v>
      </c>
      <c r="H19" s="397">
        <f t="shared" si="1"/>
        <v>89</v>
      </c>
      <c r="I19" s="50">
        <v>87</v>
      </c>
      <c r="J19" s="50">
        <v>92</v>
      </c>
      <c r="K19" s="397">
        <f t="shared" si="2"/>
        <v>89.5</v>
      </c>
      <c r="L19" s="50">
        <v>91</v>
      </c>
      <c r="M19" s="50">
        <v>94</v>
      </c>
      <c r="N19" s="397">
        <f t="shared" si="3"/>
        <v>92.5</v>
      </c>
      <c r="O19" s="50">
        <v>90</v>
      </c>
      <c r="P19" s="50">
        <v>85</v>
      </c>
      <c r="Q19" s="397">
        <f t="shared" si="4"/>
        <v>87.5</v>
      </c>
      <c r="R19" s="50">
        <v>89</v>
      </c>
      <c r="S19" s="50">
        <v>90</v>
      </c>
      <c r="T19" s="397">
        <f t="shared" si="5"/>
        <v>89.5</v>
      </c>
      <c r="U19" s="50">
        <v>90</v>
      </c>
      <c r="V19" s="50">
        <v>89</v>
      </c>
      <c r="W19" s="397">
        <f t="shared" si="6"/>
        <v>89.5</v>
      </c>
      <c r="X19" s="50">
        <v>87</v>
      </c>
      <c r="Y19" s="50">
        <v>91</v>
      </c>
      <c r="Z19" s="397">
        <f t="shared" si="7"/>
        <v>89</v>
      </c>
      <c r="AA19" s="50">
        <v>86</v>
      </c>
      <c r="AB19" s="50">
        <v>82</v>
      </c>
      <c r="AC19" s="397">
        <f t="shared" si="8"/>
        <v>84</v>
      </c>
      <c r="AD19" s="50">
        <v>91</v>
      </c>
      <c r="AE19" s="50">
        <v>89</v>
      </c>
      <c r="AF19" s="397">
        <f t="shared" si="9"/>
        <v>90</v>
      </c>
      <c r="AG19" s="49"/>
      <c r="AH19" s="50"/>
      <c r="AI19" s="397" t="str">
        <f t="shared" si="10"/>
        <v/>
      </c>
      <c r="AJ19" s="50"/>
      <c r="AK19" s="50"/>
      <c r="AL19" s="397" t="str">
        <f t="shared" si="11"/>
        <v/>
      </c>
      <c r="AM19" s="396">
        <f t="shared" si="12"/>
        <v>89.333333333333329</v>
      </c>
      <c r="AN19" s="396">
        <f t="shared" si="12"/>
        <v>88.555555555555557</v>
      </c>
      <c r="AO19" s="396">
        <f t="shared" si="13"/>
        <v>800.5</v>
      </c>
      <c r="AP19" s="396">
        <f t="shared" si="14"/>
        <v>88.944444444444443</v>
      </c>
      <c r="AR19" s="35" t="str">
        <f t="shared" si="0"/>
        <v>Sembunyikan</v>
      </c>
    </row>
    <row r="20" spans="2:44">
      <c r="B20" s="7">
        <v>11</v>
      </c>
      <c r="C20" s="7" t="str">
        <f>'Data Siswa'!C14&amp;""</f>
        <v>2895</v>
      </c>
      <c r="D20" s="11" t="str">
        <f>'Data Siswa'!F14&amp;""</f>
        <v/>
      </c>
      <c r="E20" s="434"/>
      <c r="F20" s="50">
        <v>83</v>
      </c>
      <c r="G20" s="50">
        <v>80</v>
      </c>
      <c r="H20" s="397">
        <f t="shared" si="1"/>
        <v>81.5</v>
      </c>
      <c r="I20" s="50">
        <v>85</v>
      </c>
      <c r="J20" s="50">
        <v>88</v>
      </c>
      <c r="K20" s="397">
        <f t="shared" si="2"/>
        <v>86.5</v>
      </c>
      <c r="L20" s="50">
        <v>87</v>
      </c>
      <c r="M20" s="50">
        <v>87</v>
      </c>
      <c r="N20" s="397">
        <f t="shared" si="3"/>
        <v>87</v>
      </c>
      <c r="O20" s="50">
        <v>87</v>
      </c>
      <c r="P20" s="50">
        <v>83</v>
      </c>
      <c r="Q20" s="397">
        <f t="shared" si="4"/>
        <v>85</v>
      </c>
      <c r="R20" s="50">
        <v>88</v>
      </c>
      <c r="S20" s="50">
        <v>85</v>
      </c>
      <c r="T20" s="397">
        <f t="shared" si="5"/>
        <v>86.5</v>
      </c>
      <c r="U20" s="50">
        <v>89</v>
      </c>
      <c r="V20" s="50">
        <v>86</v>
      </c>
      <c r="W20" s="397">
        <f t="shared" si="6"/>
        <v>87.5</v>
      </c>
      <c r="X20" s="50">
        <v>79</v>
      </c>
      <c r="Y20" s="50">
        <v>84</v>
      </c>
      <c r="Z20" s="397">
        <f t="shared" si="7"/>
        <v>81.5</v>
      </c>
      <c r="AA20" s="50">
        <v>86</v>
      </c>
      <c r="AB20" s="50">
        <v>83</v>
      </c>
      <c r="AC20" s="397">
        <f t="shared" si="8"/>
        <v>84.5</v>
      </c>
      <c r="AD20" s="50">
        <v>85</v>
      </c>
      <c r="AE20" s="50">
        <v>82</v>
      </c>
      <c r="AF20" s="397">
        <f t="shared" si="9"/>
        <v>83.5</v>
      </c>
      <c r="AG20" s="49"/>
      <c r="AH20" s="50"/>
      <c r="AI20" s="397" t="str">
        <f t="shared" si="10"/>
        <v/>
      </c>
      <c r="AJ20" s="50"/>
      <c r="AK20" s="50"/>
      <c r="AL20" s="397" t="str">
        <f t="shared" si="11"/>
        <v/>
      </c>
      <c r="AM20" s="396">
        <f t="shared" si="12"/>
        <v>85.444444444444443</v>
      </c>
      <c r="AN20" s="396">
        <f t="shared" si="12"/>
        <v>84.222222222222229</v>
      </c>
      <c r="AO20" s="396">
        <f t="shared" si="13"/>
        <v>763.5</v>
      </c>
      <c r="AP20" s="396">
        <f t="shared" si="14"/>
        <v>84.833333333333329</v>
      </c>
      <c r="AR20" s="35" t="str">
        <f t="shared" si="0"/>
        <v>Sembunyikan</v>
      </c>
    </row>
    <row r="21" spans="2:44">
      <c r="B21" s="7">
        <v>12</v>
      </c>
      <c r="C21" s="7" t="str">
        <f>'Data Siswa'!C15&amp;""</f>
        <v>2896</v>
      </c>
      <c r="D21" s="11" t="str">
        <f>'Data Siswa'!F15&amp;""</f>
        <v/>
      </c>
      <c r="E21" s="434"/>
      <c r="F21" s="50">
        <v>97</v>
      </c>
      <c r="G21" s="50">
        <v>91</v>
      </c>
      <c r="H21" s="397">
        <f t="shared" si="1"/>
        <v>94</v>
      </c>
      <c r="I21" s="50">
        <v>90</v>
      </c>
      <c r="J21" s="50">
        <v>94</v>
      </c>
      <c r="K21" s="397">
        <f t="shared" si="2"/>
        <v>92</v>
      </c>
      <c r="L21" s="50">
        <v>94</v>
      </c>
      <c r="M21" s="50">
        <v>94</v>
      </c>
      <c r="N21" s="397">
        <f t="shared" si="3"/>
        <v>94</v>
      </c>
      <c r="O21" s="50">
        <v>94</v>
      </c>
      <c r="P21" s="50">
        <v>89</v>
      </c>
      <c r="Q21" s="397">
        <f t="shared" si="4"/>
        <v>91.5</v>
      </c>
      <c r="R21" s="50">
        <v>93</v>
      </c>
      <c r="S21" s="50">
        <v>96</v>
      </c>
      <c r="T21" s="397">
        <f t="shared" si="5"/>
        <v>94.5</v>
      </c>
      <c r="U21" s="50">
        <v>95</v>
      </c>
      <c r="V21" s="50">
        <v>91</v>
      </c>
      <c r="W21" s="397">
        <f t="shared" si="6"/>
        <v>93</v>
      </c>
      <c r="X21" s="50">
        <v>95</v>
      </c>
      <c r="Y21" s="50">
        <v>92</v>
      </c>
      <c r="Z21" s="397">
        <f t="shared" si="7"/>
        <v>93.5</v>
      </c>
      <c r="AA21" s="50">
        <v>92</v>
      </c>
      <c r="AB21" s="50">
        <v>85</v>
      </c>
      <c r="AC21" s="397">
        <f t="shared" si="8"/>
        <v>88.5</v>
      </c>
      <c r="AD21" s="50">
        <v>93</v>
      </c>
      <c r="AE21" s="50">
        <v>89</v>
      </c>
      <c r="AF21" s="397">
        <f t="shared" si="9"/>
        <v>91</v>
      </c>
      <c r="AG21" s="49"/>
      <c r="AH21" s="50"/>
      <c r="AI21" s="397" t="str">
        <f t="shared" si="10"/>
        <v/>
      </c>
      <c r="AJ21" s="50"/>
      <c r="AK21" s="50"/>
      <c r="AL21" s="397" t="str">
        <f t="shared" si="11"/>
        <v/>
      </c>
      <c r="AM21" s="396">
        <f t="shared" si="12"/>
        <v>93.666666666666671</v>
      </c>
      <c r="AN21" s="396">
        <f t="shared" si="12"/>
        <v>91.222222222222229</v>
      </c>
      <c r="AO21" s="396">
        <f t="shared" si="13"/>
        <v>832</v>
      </c>
      <c r="AP21" s="396">
        <f t="shared" si="14"/>
        <v>92.444444444444443</v>
      </c>
      <c r="AR21" s="35" t="str">
        <f t="shared" si="0"/>
        <v>Sembunyikan</v>
      </c>
    </row>
    <row r="22" spans="2:44">
      <c r="B22" s="7">
        <v>13</v>
      </c>
      <c r="C22" s="7" t="str">
        <f>'Data Siswa'!C16&amp;""</f>
        <v>2897</v>
      </c>
      <c r="D22" s="11" t="str">
        <f>'Data Siswa'!F16&amp;""</f>
        <v/>
      </c>
      <c r="E22" s="434"/>
      <c r="F22" s="50">
        <v>86</v>
      </c>
      <c r="G22" s="50">
        <v>85</v>
      </c>
      <c r="H22" s="397">
        <f t="shared" si="1"/>
        <v>85.5</v>
      </c>
      <c r="I22" s="50">
        <v>85</v>
      </c>
      <c r="J22" s="50">
        <v>84</v>
      </c>
      <c r="K22" s="397">
        <f t="shared" si="2"/>
        <v>84.5</v>
      </c>
      <c r="L22" s="50">
        <v>81</v>
      </c>
      <c r="M22" s="50">
        <v>91</v>
      </c>
      <c r="N22" s="397">
        <f t="shared" si="3"/>
        <v>86</v>
      </c>
      <c r="O22" s="50">
        <v>86</v>
      </c>
      <c r="P22" s="50">
        <v>79</v>
      </c>
      <c r="Q22" s="397">
        <f t="shared" si="4"/>
        <v>82.5</v>
      </c>
      <c r="R22" s="50">
        <v>84</v>
      </c>
      <c r="S22" s="50">
        <v>80</v>
      </c>
      <c r="T22" s="397">
        <f t="shared" si="5"/>
        <v>82</v>
      </c>
      <c r="U22" s="50">
        <v>88</v>
      </c>
      <c r="V22" s="50">
        <v>83</v>
      </c>
      <c r="W22" s="397">
        <f t="shared" si="6"/>
        <v>85.5</v>
      </c>
      <c r="X22" s="50">
        <v>84</v>
      </c>
      <c r="Y22" s="50">
        <v>91</v>
      </c>
      <c r="Z22" s="397">
        <f t="shared" si="7"/>
        <v>87.5</v>
      </c>
      <c r="AA22" s="50">
        <v>85</v>
      </c>
      <c r="AB22" s="50">
        <v>82</v>
      </c>
      <c r="AC22" s="397">
        <f t="shared" si="8"/>
        <v>83.5</v>
      </c>
      <c r="AD22" s="50">
        <v>81</v>
      </c>
      <c r="AE22" s="50">
        <v>80</v>
      </c>
      <c r="AF22" s="397">
        <f t="shared" si="9"/>
        <v>80.5</v>
      </c>
      <c r="AG22" s="49"/>
      <c r="AH22" s="50"/>
      <c r="AI22" s="397" t="str">
        <f t="shared" si="10"/>
        <v/>
      </c>
      <c r="AJ22" s="50"/>
      <c r="AK22" s="50"/>
      <c r="AL22" s="397" t="str">
        <f t="shared" si="11"/>
        <v/>
      </c>
      <c r="AM22" s="396">
        <f t="shared" si="12"/>
        <v>84.444444444444443</v>
      </c>
      <c r="AN22" s="396">
        <f t="shared" si="12"/>
        <v>83.888888888888886</v>
      </c>
      <c r="AO22" s="396">
        <f t="shared" si="13"/>
        <v>757.5</v>
      </c>
      <c r="AP22" s="396">
        <f t="shared" si="14"/>
        <v>84.166666666666671</v>
      </c>
      <c r="AR22" s="35" t="str">
        <f t="shared" si="0"/>
        <v>Sembunyikan</v>
      </c>
    </row>
    <row r="23" spans="2:44">
      <c r="B23" s="7">
        <v>14</v>
      </c>
      <c r="C23" s="7" t="str">
        <f>'Data Siswa'!C17&amp;""</f>
        <v>2898</v>
      </c>
      <c r="D23" s="11" t="str">
        <f>'Data Siswa'!F17&amp;""</f>
        <v/>
      </c>
      <c r="E23" s="434"/>
      <c r="F23" s="50">
        <v>93</v>
      </c>
      <c r="G23" s="50">
        <v>86</v>
      </c>
      <c r="H23" s="397">
        <f t="shared" si="1"/>
        <v>89.5</v>
      </c>
      <c r="I23" s="50">
        <v>88</v>
      </c>
      <c r="J23" s="50">
        <v>85</v>
      </c>
      <c r="K23" s="397">
        <f t="shared" si="2"/>
        <v>86.5</v>
      </c>
      <c r="L23" s="50">
        <v>83</v>
      </c>
      <c r="M23" s="50">
        <v>93</v>
      </c>
      <c r="N23" s="397">
        <f t="shared" si="3"/>
        <v>88</v>
      </c>
      <c r="O23" s="50">
        <v>86</v>
      </c>
      <c r="P23" s="50">
        <v>77</v>
      </c>
      <c r="Q23" s="397">
        <f t="shared" si="4"/>
        <v>81.5</v>
      </c>
      <c r="R23" s="50">
        <v>87</v>
      </c>
      <c r="S23" s="50">
        <v>84</v>
      </c>
      <c r="T23" s="397">
        <f t="shared" si="5"/>
        <v>85.5</v>
      </c>
      <c r="U23" s="50">
        <v>93</v>
      </c>
      <c r="V23" s="50">
        <v>85</v>
      </c>
      <c r="W23" s="397">
        <f t="shared" si="6"/>
        <v>89</v>
      </c>
      <c r="X23" s="50">
        <v>85</v>
      </c>
      <c r="Y23" s="50">
        <v>89</v>
      </c>
      <c r="Z23" s="397">
        <f t="shared" si="7"/>
        <v>87</v>
      </c>
      <c r="AA23" s="50">
        <v>85</v>
      </c>
      <c r="AB23" s="50">
        <v>82</v>
      </c>
      <c r="AC23" s="397">
        <f t="shared" si="8"/>
        <v>83.5</v>
      </c>
      <c r="AD23" s="50">
        <v>86</v>
      </c>
      <c r="AE23" s="50">
        <v>85</v>
      </c>
      <c r="AF23" s="397">
        <f t="shared" si="9"/>
        <v>85.5</v>
      </c>
      <c r="AG23" s="49"/>
      <c r="AH23" s="50"/>
      <c r="AI23" s="397" t="str">
        <f t="shared" si="10"/>
        <v/>
      </c>
      <c r="AJ23" s="50"/>
      <c r="AK23" s="50"/>
      <c r="AL23" s="397" t="str">
        <f t="shared" si="11"/>
        <v/>
      </c>
      <c r="AM23" s="396">
        <f t="shared" si="12"/>
        <v>87.333333333333329</v>
      </c>
      <c r="AN23" s="396">
        <f t="shared" si="12"/>
        <v>85.111111111111114</v>
      </c>
      <c r="AO23" s="396">
        <f t="shared" si="13"/>
        <v>776</v>
      </c>
      <c r="AP23" s="396">
        <f t="shared" si="14"/>
        <v>86.222222222222229</v>
      </c>
      <c r="AR23" s="35" t="str">
        <f t="shared" si="0"/>
        <v>Sembunyikan</v>
      </c>
    </row>
    <row r="24" spans="2:44">
      <c r="B24" s="7">
        <v>15</v>
      </c>
      <c r="C24" s="7" t="str">
        <f>'Data Siswa'!C18&amp;""</f>
        <v>2900</v>
      </c>
      <c r="D24" s="11" t="str">
        <f>'Data Siswa'!F18&amp;""</f>
        <v/>
      </c>
      <c r="E24" s="434"/>
      <c r="F24" s="50">
        <v>90</v>
      </c>
      <c r="G24" s="50">
        <v>82</v>
      </c>
      <c r="H24" s="397">
        <f t="shared" si="1"/>
        <v>86</v>
      </c>
      <c r="I24" s="50">
        <v>87</v>
      </c>
      <c r="J24" s="50">
        <v>85</v>
      </c>
      <c r="K24" s="397">
        <f t="shared" si="2"/>
        <v>86</v>
      </c>
      <c r="L24" s="50">
        <v>92</v>
      </c>
      <c r="M24" s="50">
        <v>92</v>
      </c>
      <c r="N24" s="397">
        <f t="shared" si="3"/>
        <v>92</v>
      </c>
      <c r="O24" s="50">
        <v>89</v>
      </c>
      <c r="P24" s="50">
        <v>89</v>
      </c>
      <c r="Q24" s="397">
        <f t="shared" si="4"/>
        <v>89</v>
      </c>
      <c r="R24" s="50">
        <v>89</v>
      </c>
      <c r="S24" s="50">
        <v>86</v>
      </c>
      <c r="T24" s="397">
        <f t="shared" si="5"/>
        <v>87.5</v>
      </c>
      <c r="U24" s="50">
        <v>97</v>
      </c>
      <c r="V24" s="50">
        <v>84</v>
      </c>
      <c r="W24" s="397">
        <f t="shared" si="6"/>
        <v>90.5</v>
      </c>
      <c r="X24" s="50">
        <v>90</v>
      </c>
      <c r="Y24" s="50">
        <v>91</v>
      </c>
      <c r="Z24" s="397">
        <f t="shared" si="7"/>
        <v>90.5</v>
      </c>
      <c r="AA24" s="50">
        <v>87</v>
      </c>
      <c r="AB24" s="50">
        <v>81</v>
      </c>
      <c r="AC24" s="397">
        <f t="shared" si="8"/>
        <v>84</v>
      </c>
      <c r="AD24" s="50">
        <v>89</v>
      </c>
      <c r="AE24" s="50">
        <v>81</v>
      </c>
      <c r="AF24" s="397">
        <f t="shared" si="9"/>
        <v>85</v>
      </c>
      <c r="AG24" s="49"/>
      <c r="AH24" s="50"/>
      <c r="AI24" s="397" t="str">
        <f t="shared" si="10"/>
        <v/>
      </c>
      <c r="AJ24" s="50"/>
      <c r="AK24" s="50"/>
      <c r="AL24" s="397" t="str">
        <f t="shared" si="11"/>
        <v/>
      </c>
      <c r="AM24" s="396">
        <f t="shared" si="12"/>
        <v>90</v>
      </c>
      <c r="AN24" s="396">
        <f t="shared" si="12"/>
        <v>85.666666666666671</v>
      </c>
      <c r="AO24" s="396">
        <f t="shared" si="13"/>
        <v>790.5</v>
      </c>
      <c r="AP24" s="396">
        <f t="shared" si="14"/>
        <v>87.833333333333329</v>
      </c>
      <c r="AR24" s="35" t="str">
        <f t="shared" si="0"/>
        <v>Sembunyikan</v>
      </c>
    </row>
    <row r="25" spans="2:44">
      <c r="B25" s="7">
        <v>16</v>
      </c>
      <c r="C25" s="7" t="str">
        <f>'Data Siswa'!C19&amp;""</f>
        <v>2899</v>
      </c>
      <c r="D25" s="11" t="str">
        <f>'Data Siswa'!F19&amp;""</f>
        <v/>
      </c>
      <c r="E25" s="434"/>
      <c r="F25" s="50">
        <v>92</v>
      </c>
      <c r="G25" s="50">
        <v>87</v>
      </c>
      <c r="H25" s="397">
        <f t="shared" si="1"/>
        <v>89.5</v>
      </c>
      <c r="I25" s="50">
        <v>89</v>
      </c>
      <c r="J25" s="50">
        <v>84</v>
      </c>
      <c r="K25" s="397">
        <f t="shared" si="2"/>
        <v>86.5</v>
      </c>
      <c r="L25" s="50">
        <v>91</v>
      </c>
      <c r="M25" s="50">
        <v>92</v>
      </c>
      <c r="N25" s="397">
        <f t="shared" si="3"/>
        <v>91.5</v>
      </c>
      <c r="O25" s="50">
        <v>89</v>
      </c>
      <c r="P25" s="50">
        <v>81</v>
      </c>
      <c r="Q25" s="397">
        <f t="shared" si="4"/>
        <v>85</v>
      </c>
      <c r="R25" s="50">
        <v>88</v>
      </c>
      <c r="S25" s="50">
        <v>86</v>
      </c>
      <c r="T25" s="397">
        <f t="shared" si="5"/>
        <v>87</v>
      </c>
      <c r="U25" s="50">
        <v>94</v>
      </c>
      <c r="V25" s="50">
        <v>86</v>
      </c>
      <c r="W25" s="397">
        <f t="shared" si="6"/>
        <v>90</v>
      </c>
      <c r="X25" s="50">
        <v>91</v>
      </c>
      <c r="Y25" s="50">
        <v>91</v>
      </c>
      <c r="Z25" s="397">
        <f t="shared" si="7"/>
        <v>91</v>
      </c>
      <c r="AA25" s="50">
        <v>88</v>
      </c>
      <c r="AB25" s="50">
        <v>82</v>
      </c>
      <c r="AC25" s="397">
        <f t="shared" si="8"/>
        <v>85</v>
      </c>
      <c r="AD25" s="50">
        <v>89</v>
      </c>
      <c r="AE25" s="50">
        <v>87</v>
      </c>
      <c r="AF25" s="397">
        <f t="shared" si="9"/>
        <v>88</v>
      </c>
      <c r="AG25" s="49"/>
      <c r="AH25" s="50"/>
      <c r="AI25" s="397" t="str">
        <f t="shared" si="10"/>
        <v/>
      </c>
      <c r="AJ25" s="50"/>
      <c r="AK25" s="50"/>
      <c r="AL25" s="397" t="str">
        <f t="shared" si="11"/>
        <v/>
      </c>
      <c r="AM25" s="396">
        <f t="shared" si="12"/>
        <v>90.111111111111114</v>
      </c>
      <c r="AN25" s="396">
        <f t="shared" si="12"/>
        <v>86.222222222222229</v>
      </c>
      <c r="AO25" s="396">
        <f t="shared" si="13"/>
        <v>793.5</v>
      </c>
      <c r="AP25" s="396">
        <f t="shared" si="14"/>
        <v>88.166666666666671</v>
      </c>
      <c r="AR25" s="35" t="str">
        <f t="shared" si="0"/>
        <v>Sembunyikan</v>
      </c>
    </row>
    <row r="26" spans="2:44">
      <c r="B26" s="7">
        <v>17</v>
      </c>
      <c r="C26" s="7" t="str">
        <f>'Data Siswa'!C20&amp;""</f>
        <v>2901</v>
      </c>
      <c r="D26" s="11" t="str">
        <f>'Data Siswa'!F20&amp;""</f>
        <v/>
      </c>
      <c r="E26" s="434"/>
      <c r="F26" s="50">
        <v>91</v>
      </c>
      <c r="G26" s="50">
        <v>86</v>
      </c>
      <c r="H26" s="397">
        <f t="shared" si="1"/>
        <v>88.5</v>
      </c>
      <c r="I26" s="50">
        <v>87</v>
      </c>
      <c r="J26" s="50">
        <v>88</v>
      </c>
      <c r="K26" s="397">
        <f t="shared" si="2"/>
        <v>87.5</v>
      </c>
      <c r="L26" s="50">
        <v>90</v>
      </c>
      <c r="M26" s="50">
        <v>93</v>
      </c>
      <c r="N26" s="397">
        <f t="shared" si="3"/>
        <v>91.5</v>
      </c>
      <c r="O26" s="50">
        <v>91</v>
      </c>
      <c r="P26" s="50">
        <v>86</v>
      </c>
      <c r="Q26" s="397">
        <f t="shared" si="4"/>
        <v>88.5</v>
      </c>
      <c r="R26" s="50">
        <v>86</v>
      </c>
      <c r="S26" s="50">
        <v>86</v>
      </c>
      <c r="T26" s="397">
        <f t="shared" si="5"/>
        <v>86</v>
      </c>
      <c r="U26" s="50">
        <v>91</v>
      </c>
      <c r="V26" s="50">
        <v>85</v>
      </c>
      <c r="W26" s="397">
        <f t="shared" si="6"/>
        <v>88</v>
      </c>
      <c r="X26" s="50">
        <v>92</v>
      </c>
      <c r="Y26" s="50">
        <v>93</v>
      </c>
      <c r="Z26" s="397">
        <f t="shared" si="7"/>
        <v>92.5</v>
      </c>
      <c r="AA26" s="50">
        <v>86</v>
      </c>
      <c r="AB26" s="50">
        <v>83</v>
      </c>
      <c r="AC26" s="397">
        <f t="shared" si="8"/>
        <v>84.5</v>
      </c>
      <c r="AD26" s="50">
        <v>91</v>
      </c>
      <c r="AE26" s="50">
        <v>89</v>
      </c>
      <c r="AF26" s="397">
        <f t="shared" si="9"/>
        <v>90</v>
      </c>
      <c r="AG26" s="49"/>
      <c r="AH26" s="50"/>
      <c r="AI26" s="397" t="str">
        <f t="shared" si="10"/>
        <v/>
      </c>
      <c r="AJ26" s="50"/>
      <c r="AK26" s="50"/>
      <c r="AL26" s="397" t="str">
        <f t="shared" si="11"/>
        <v/>
      </c>
      <c r="AM26" s="396">
        <f t="shared" si="12"/>
        <v>89.444444444444443</v>
      </c>
      <c r="AN26" s="396">
        <f t="shared" si="12"/>
        <v>87.666666666666671</v>
      </c>
      <c r="AO26" s="396">
        <f t="shared" si="13"/>
        <v>797</v>
      </c>
      <c r="AP26" s="396">
        <f t="shared" si="14"/>
        <v>88.555555555555557</v>
      </c>
      <c r="AR26" s="35" t="str">
        <f t="shared" si="0"/>
        <v>Sembunyikan</v>
      </c>
    </row>
    <row r="27" spans="2:44">
      <c r="B27" s="7">
        <v>18</v>
      </c>
      <c r="C27" s="7" t="str">
        <f>'Data Siswa'!C21&amp;""</f>
        <v>2902</v>
      </c>
      <c r="D27" s="11" t="str">
        <f>'Data Siswa'!F21&amp;""</f>
        <v/>
      </c>
      <c r="E27" s="434"/>
      <c r="F27" s="50">
        <v>94</v>
      </c>
      <c r="G27" s="50">
        <v>92</v>
      </c>
      <c r="H27" s="397">
        <f t="shared" si="1"/>
        <v>93</v>
      </c>
      <c r="I27" s="50">
        <v>89</v>
      </c>
      <c r="J27" s="50">
        <v>93</v>
      </c>
      <c r="K27" s="397">
        <f t="shared" si="2"/>
        <v>91</v>
      </c>
      <c r="L27" s="50">
        <v>92</v>
      </c>
      <c r="M27" s="50">
        <v>92</v>
      </c>
      <c r="N27" s="397">
        <f t="shared" si="3"/>
        <v>92</v>
      </c>
      <c r="O27" s="50">
        <v>91</v>
      </c>
      <c r="P27" s="50">
        <v>91</v>
      </c>
      <c r="Q27" s="397">
        <f t="shared" si="4"/>
        <v>91</v>
      </c>
      <c r="R27" s="50">
        <v>88</v>
      </c>
      <c r="S27" s="50">
        <v>88</v>
      </c>
      <c r="T27" s="397">
        <f t="shared" si="5"/>
        <v>88</v>
      </c>
      <c r="U27" s="50">
        <v>89</v>
      </c>
      <c r="V27" s="50">
        <v>89</v>
      </c>
      <c r="W27" s="397">
        <f t="shared" si="6"/>
        <v>89</v>
      </c>
      <c r="X27" s="50">
        <v>87</v>
      </c>
      <c r="Y27" s="50">
        <v>92</v>
      </c>
      <c r="Z27" s="397">
        <f t="shared" si="7"/>
        <v>89.5</v>
      </c>
      <c r="AA27" s="50">
        <v>87</v>
      </c>
      <c r="AB27" s="50">
        <v>82</v>
      </c>
      <c r="AC27" s="397">
        <f t="shared" si="8"/>
        <v>84.5</v>
      </c>
      <c r="AD27" s="50">
        <v>93</v>
      </c>
      <c r="AE27" s="50">
        <v>92</v>
      </c>
      <c r="AF27" s="397">
        <f t="shared" si="9"/>
        <v>92.5</v>
      </c>
      <c r="AG27" s="49"/>
      <c r="AH27" s="50"/>
      <c r="AI27" s="397" t="str">
        <f t="shared" si="10"/>
        <v/>
      </c>
      <c r="AJ27" s="50"/>
      <c r="AK27" s="50"/>
      <c r="AL27" s="397" t="str">
        <f t="shared" si="11"/>
        <v/>
      </c>
      <c r="AM27" s="396">
        <f t="shared" si="12"/>
        <v>90</v>
      </c>
      <c r="AN27" s="396">
        <f t="shared" si="12"/>
        <v>90.111111111111114</v>
      </c>
      <c r="AO27" s="396">
        <f t="shared" si="13"/>
        <v>810.5</v>
      </c>
      <c r="AP27" s="396">
        <f t="shared" si="14"/>
        <v>90.055555555555557</v>
      </c>
      <c r="AR27" s="35" t="str">
        <f t="shared" si="0"/>
        <v>Sembunyikan</v>
      </c>
    </row>
    <row r="28" spans="2:44">
      <c r="B28" s="7">
        <v>19</v>
      </c>
      <c r="C28" s="7" t="str">
        <f>'Data Siswa'!C22&amp;""</f>
        <v>2904</v>
      </c>
      <c r="D28" s="11" t="str">
        <f>'Data Siswa'!F22&amp;""</f>
        <v/>
      </c>
      <c r="E28" s="434"/>
      <c r="F28" s="50">
        <v>88</v>
      </c>
      <c r="G28" s="50">
        <v>88</v>
      </c>
      <c r="H28" s="397">
        <f t="shared" si="1"/>
        <v>88</v>
      </c>
      <c r="I28" s="50">
        <v>84</v>
      </c>
      <c r="J28" s="50">
        <v>90</v>
      </c>
      <c r="K28" s="397">
        <f t="shared" si="2"/>
        <v>87</v>
      </c>
      <c r="L28" s="50">
        <v>86</v>
      </c>
      <c r="M28" s="50">
        <v>90</v>
      </c>
      <c r="N28" s="397">
        <f t="shared" si="3"/>
        <v>88</v>
      </c>
      <c r="O28" s="50">
        <v>86</v>
      </c>
      <c r="P28" s="50">
        <v>90</v>
      </c>
      <c r="Q28" s="397">
        <f t="shared" si="4"/>
        <v>88</v>
      </c>
      <c r="R28" s="50">
        <v>87</v>
      </c>
      <c r="S28" s="50">
        <v>89</v>
      </c>
      <c r="T28" s="397">
        <f t="shared" si="5"/>
        <v>88</v>
      </c>
      <c r="U28" s="50">
        <v>88</v>
      </c>
      <c r="V28" s="50">
        <v>89</v>
      </c>
      <c r="W28" s="397">
        <f t="shared" si="6"/>
        <v>88.5</v>
      </c>
      <c r="X28" s="50">
        <v>76</v>
      </c>
      <c r="Y28" s="50">
        <v>87</v>
      </c>
      <c r="Z28" s="397">
        <f t="shared" si="7"/>
        <v>81.5</v>
      </c>
      <c r="AA28" s="50">
        <v>88</v>
      </c>
      <c r="AB28" s="50">
        <v>83</v>
      </c>
      <c r="AC28" s="397">
        <f t="shared" si="8"/>
        <v>85.5</v>
      </c>
      <c r="AD28" s="50">
        <v>75</v>
      </c>
      <c r="AE28" s="50">
        <v>78</v>
      </c>
      <c r="AF28" s="397">
        <f t="shared" si="9"/>
        <v>76.5</v>
      </c>
      <c r="AG28" s="49"/>
      <c r="AH28" s="50"/>
      <c r="AI28" s="397" t="str">
        <f t="shared" si="10"/>
        <v/>
      </c>
      <c r="AJ28" s="50"/>
      <c r="AK28" s="50"/>
      <c r="AL28" s="397" t="str">
        <f t="shared" si="11"/>
        <v/>
      </c>
      <c r="AM28" s="396">
        <f t="shared" si="12"/>
        <v>84.222222222222229</v>
      </c>
      <c r="AN28" s="396">
        <f t="shared" si="12"/>
        <v>87.111111111111114</v>
      </c>
      <c r="AO28" s="396">
        <f t="shared" si="13"/>
        <v>771</v>
      </c>
      <c r="AP28" s="396">
        <f t="shared" si="14"/>
        <v>85.666666666666671</v>
      </c>
      <c r="AR28" s="35" t="str">
        <f t="shared" si="0"/>
        <v>Sembunyikan</v>
      </c>
    </row>
    <row r="29" spans="2:44">
      <c r="B29" s="7">
        <v>20</v>
      </c>
      <c r="C29" s="7" t="str">
        <f>'Data Siswa'!C23&amp;""</f>
        <v>1111</v>
      </c>
      <c r="D29" s="11" t="str">
        <f>'Data Siswa'!F23&amp;""</f>
        <v/>
      </c>
      <c r="E29" s="434"/>
      <c r="F29" s="50">
        <v>84</v>
      </c>
      <c r="G29" s="50">
        <v>78</v>
      </c>
      <c r="H29" s="397">
        <f t="shared" si="1"/>
        <v>81</v>
      </c>
      <c r="I29" s="50">
        <v>81</v>
      </c>
      <c r="J29" s="50">
        <v>82</v>
      </c>
      <c r="K29" s="397">
        <f t="shared" si="2"/>
        <v>81.5</v>
      </c>
      <c r="L29" s="50">
        <v>77</v>
      </c>
      <c r="M29" s="50">
        <v>84</v>
      </c>
      <c r="N29" s="397">
        <f t="shared" si="3"/>
        <v>80.5</v>
      </c>
      <c r="O29" s="50">
        <v>76</v>
      </c>
      <c r="P29" s="50">
        <v>74</v>
      </c>
      <c r="Q29" s="397">
        <f t="shared" si="4"/>
        <v>75</v>
      </c>
      <c r="R29" s="50">
        <v>83</v>
      </c>
      <c r="S29" s="50">
        <v>83</v>
      </c>
      <c r="T29" s="397">
        <f t="shared" si="5"/>
        <v>83</v>
      </c>
      <c r="U29" s="50">
        <v>83</v>
      </c>
      <c r="V29" s="50">
        <v>85</v>
      </c>
      <c r="W29" s="397">
        <f t="shared" si="6"/>
        <v>84</v>
      </c>
      <c r="X29" s="50">
        <v>75</v>
      </c>
      <c r="Y29" s="50">
        <v>79</v>
      </c>
      <c r="Z29" s="397">
        <f t="shared" si="7"/>
        <v>77</v>
      </c>
      <c r="AA29" s="50">
        <v>85</v>
      </c>
      <c r="AB29" s="50">
        <v>82</v>
      </c>
      <c r="AC29" s="397">
        <f t="shared" si="8"/>
        <v>83.5</v>
      </c>
      <c r="AD29" s="50">
        <v>74</v>
      </c>
      <c r="AE29" s="50">
        <v>77</v>
      </c>
      <c r="AF29" s="397">
        <f t="shared" si="9"/>
        <v>75.5</v>
      </c>
      <c r="AG29" s="49"/>
      <c r="AH29" s="50"/>
      <c r="AI29" s="397" t="str">
        <f t="shared" si="10"/>
        <v/>
      </c>
      <c r="AJ29" s="50"/>
      <c r="AK29" s="50"/>
      <c r="AL29" s="397" t="str">
        <f t="shared" si="11"/>
        <v/>
      </c>
      <c r="AM29" s="396">
        <f t="shared" si="12"/>
        <v>79.777777777777771</v>
      </c>
      <c r="AN29" s="396">
        <f t="shared" si="12"/>
        <v>80.444444444444443</v>
      </c>
      <c r="AO29" s="396">
        <f t="shared" si="13"/>
        <v>721</v>
      </c>
      <c r="AP29" s="396">
        <f t="shared" si="14"/>
        <v>80.111111111111114</v>
      </c>
      <c r="AR29" s="35" t="str">
        <f t="shared" si="0"/>
        <v>Sembunyikan</v>
      </c>
    </row>
    <row r="30" spans="2:44">
      <c r="B30" s="7">
        <v>21</v>
      </c>
      <c r="C30" s="7" t="str">
        <f>'Data Siswa'!C24&amp;""</f>
        <v>2906</v>
      </c>
      <c r="D30" s="11" t="str">
        <f>'Data Siswa'!F24&amp;""</f>
        <v/>
      </c>
      <c r="E30" s="434"/>
      <c r="F30" s="50">
        <v>78</v>
      </c>
      <c r="G30" s="50">
        <v>82</v>
      </c>
      <c r="H30" s="397">
        <f t="shared" si="1"/>
        <v>80</v>
      </c>
      <c r="I30" s="50">
        <v>79</v>
      </c>
      <c r="J30" s="50">
        <v>74</v>
      </c>
      <c r="K30" s="397">
        <f t="shared" si="2"/>
        <v>76.5</v>
      </c>
      <c r="L30" s="50">
        <v>77</v>
      </c>
      <c r="M30" s="50">
        <v>83</v>
      </c>
      <c r="N30" s="397">
        <f t="shared" si="3"/>
        <v>80</v>
      </c>
      <c r="O30" s="50">
        <v>67</v>
      </c>
      <c r="P30" s="50">
        <v>67</v>
      </c>
      <c r="Q30" s="397">
        <f t="shared" si="4"/>
        <v>67</v>
      </c>
      <c r="R30" s="50">
        <v>78</v>
      </c>
      <c r="S30" s="50">
        <v>74</v>
      </c>
      <c r="T30" s="397">
        <f t="shared" si="5"/>
        <v>76</v>
      </c>
      <c r="U30" s="50">
        <v>79</v>
      </c>
      <c r="V30" s="50">
        <v>81</v>
      </c>
      <c r="W30" s="397">
        <f t="shared" si="6"/>
        <v>80</v>
      </c>
      <c r="X30" s="50">
        <v>73</v>
      </c>
      <c r="Y30" s="50">
        <v>75</v>
      </c>
      <c r="Z30" s="397">
        <f t="shared" si="7"/>
        <v>74</v>
      </c>
      <c r="AA30" s="50">
        <v>83</v>
      </c>
      <c r="AB30" s="50">
        <v>76</v>
      </c>
      <c r="AC30" s="397">
        <f t="shared" si="8"/>
        <v>79.5</v>
      </c>
      <c r="AD30" s="50">
        <v>75</v>
      </c>
      <c r="AE30" s="50">
        <v>71</v>
      </c>
      <c r="AF30" s="397">
        <f t="shared" si="9"/>
        <v>73</v>
      </c>
      <c r="AG30" s="49"/>
      <c r="AH30" s="50"/>
      <c r="AI30" s="397" t="str">
        <f t="shared" si="10"/>
        <v/>
      </c>
      <c r="AJ30" s="50"/>
      <c r="AK30" s="50"/>
      <c r="AL30" s="397" t="str">
        <f t="shared" si="11"/>
        <v/>
      </c>
      <c r="AM30" s="396">
        <f t="shared" si="12"/>
        <v>76.555555555555557</v>
      </c>
      <c r="AN30" s="396">
        <f t="shared" si="12"/>
        <v>75.888888888888886</v>
      </c>
      <c r="AO30" s="396">
        <f t="shared" si="13"/>
        <v>686</v>
      </c>
      <c r="AP30" s="396">
        <f t="shared" si="14"/>
        <v>76.222222222222229</v>
      </c>
      <c r="AR30" s="35" t="str">
        <f t="shared" si="0"/>
        <v>Sembunyikan</v>
      </c>
    </row>
    <row r="31" spans="2:44">
      <c r="B31" s="7">
        <v>22</v>
      </c>
      <c r="C31" s="7" t="str">
        <f>'Data Siswa'!C25&amp;""</f>
        <v/>
      </c>
      <c r="D31" s="11" t="str">
        <f>'Data Siswa'!F25&amp;""</f>
        <v/>
      </c>
      <c r="E31" s="434"/>
      <c r="F31" s="50"/>
      <c r="G31" s="50"/>
      <c r="H31" s="397" t="str">
        <f t="shared" si="1"/>
        <v/>
      </c>
      <c r="I31" s="50"/>
      <c r="J31" s="50"/>
      <c r="K31" s="397" t="str">
        <f t="shared" si="2"/>
        <v/>
      </c>
      <c r="L31" s="50"/>
      <c r="M31" s="50"/>
      <c r="N31" s="397" t="str">
        <f t="shared" si="3"/>
        <v/>
      </c>
      <c r="O31" s="50"/>
      <c r="P31" s="50"/>
      <c r="Q31" s="397" t="str">
        <f t="shared" si="4"/>
        <v/>
      </c>
      <c r="R31" s="50"/>
      <c r="S31" s="50"/>
      <c r="T31" s="397" t="str">
        <f t="shared" si="5"/>
        <v/>
      </c>
      <c r="U31" s="50"/>
      <c r="V31" s="50"/>
      <c r="W31" s="397" t="str">
        <f t="shared" si="6"/>
        <v/>
      </c>
      <c r="X31" s="50"/>
      <c r="Y31" s="50"/>
      <c r="Z31" s="397" t="str">
        <f t="shared" si="7"/>
        <v/>
      </c>
      <c r="AA31" s="50"/>
      <c r="AB31" s="50"/>
      <c r="AC31" s="397" t="str">
        <f t="shared" si="8"/>
        <v/>
      </c>
      <c r="AD31" s="50"/>
      <c r="AE31" s="50"/>
      <c r="AF31" s="397" t="str">
        <f t="shared" si="9"/>
        <v/>
      </c>
      <c r="AG31" s="49"/>
      <c r="AH31" s="50"/>
      <c r="AI31" s="397" t="str">
        <f t="shared" si="10"/>
        <v/>
      </c>
      <c r="AJ31" s="50"/>
      <c r="AK31" s="50"/>
      <c r="AL31" s="397" t="str">
        <f t="shared" si="11"/>
        <v/>
      </c>
      <c r="AM31" s="396" t="str">
        <f t="shared" si="12"/>
        <v/>
      </c>
      <c r="AN31" s="396" t="str">
        <f t="shared" si="12"/>
        <v/>
      </c>
      <c r="AO31" s="396" t="str">
        <f t="shared" si="13"/>
        <v/>
      </c>
      <c r="AP31" s="396" t="str">
        <f t="shared" si="14"/>
        <v/>
      </c>
      <c r="AR31" s="35" t="str">
        <f t="shared" si="0"/>
        <v>Sembunyikan</v>
      </c>
    </row>
    <row r="32" spans="2:44">
      <c r="B32" s="7">
        <v>23</v>
      </c>
      <c r="C32" s="7" t="str">
        <f>'Data Siswa'!C26&amp;""</f>
        <v/>
      </c>
      <c r="D32" s="11" t="str">
        <f>'Data Siswa'!F26&amp;""</f>
        <v/>
      </c>
      <c r="E32" s="434"/>
      <c r="F32" s="50"/>
      <c r="G32" s="50"/>
      <c r="H32" s="397" t="str">
        <f t="shared" si="1"/>
        <v/>
      </c>
      <c r="I32" s="50"/>
      <c r="J32" s="50"/>
      <c r="K32" s="397" t="str">
        <f t="shared" si="2"/>
        <v/>
      </c>
      <c r="L32" s="50"/>
      <c r="M32" s="50"/>
      <c r="N32" s="397" t="str">
        <f t="shared" si="3"/>
        <v/>
      </c>
      <c r="O32" s="50"/>
      <c r="P32" s="50"/>
      <c r="Q32" s="397" t="str">
        <f t="shared" si="4"/>
        <v/>
      </c>
      <c r="R32" s="50"/>
      <c r="S32" s="50"/>
      <c r="T32" s="397" t="str">
        <f t="shared" si="5"/>
        <v/>
      </c>
      <c r="U32" s="50"/>
      <c r="V32" s="50"/>
      <c r="W32" s="397" t="str">
        <f t="shared" si="6"/>
        <v/>
      </c>
      <c r="X32" s="50"/>
      <c r="Y32" s="50"/>
      <c r="Z32" s="397" t="str">
        <f t="shared" si="7"/>
        <v/>
      </c>
      <c r="AA32" s="50"/>
      <c r="AB32" s="50"/>
      <c r="AC32" s="397" t="str">
        <f t="shared" si="8"/>
        <v/>
      </c>
      <c r="AD32" s="50"/>
      <c r="AE32" s="50"/>
      <c r="AF32" s="397" t="str">
        <f t="shared" si="9"/>
        <v/>
      </c>
      <c r="AG32" s="49"/>
      <c r="AH32" s="50"/>
      <c r="AI32" s="397" t="str">
        <f t="shared" si="10"/>
        <v/>
      </c>
      <c r="AJ32" s="50"/>
      <c r="AK32" s="50"/>
      <c r="AL32" s="397" t="str">
        <f t="shared" si="11"/>
        <v/>
      </c>
      <c r="AM32" s="396" t="str">
        <f t="shared" si="12"/>
        <v/>
      </c>
      <c r="AN32" s="396" t="str">
        <f t="shared" si="12"/>
        <v/>
      </c>
      <c r="AO32" s="396" t="str">
        <f t="shared" si="13"/>
        <v/>
      </c>
      <c r="AP32" s="396" t="str">
        <f t="shared" si="14"/>
        <v/>
      </c>
      <c r="AR32" s="35" t="str">
        <f t="shared" si="0"/>
        <v>Sembunyikan</v>
      </c>
    </row>
    <row r="33" spans="2:44">
      <c r="B33" s="7">
        <v>24</v>
      </c>
      <c r="C33" s="7" t="str">
        <f>'Data Siswa'!C27&amp;""</f>
        <v/>
      </c>
      <c r="D33" s="11" t="str">
        <f>'Data Siswa'!F27&amp;""</f>
        <v/>
      </c>
      <c r="E33" s="434"/>
      <c r="F33" s="50"/>
      <c r="G33" s="50"/>
      <c r="H33" s="397" t="str">
        <f t="shared" si="1"/>
        <v/>
      </c>
      <c r="I33" s="50"/>
      <c r="J33" s="50"/>
      <c r="K33" s="397" t="str">
        <f t="shared" si="2"/>
        <v/>
      </c>
      <c r="L33" s="50"/>
      <c r="M33" s="50"/>
      <c r="N33" s="397" t="str">
        <f t="shared" si="3"/>
        <v/>
      </c>
      <c r="O33" s="50"/>
      <c r="P33" s="50"/>
      <c r="Q33" s="397" t="str">
        <f t="shared" si="4"/>
        <v/>
      </c>
      <c r="R33" s="50"/>
      <c r="S33" s="50"/>
      <c r="T33" s="397" t="str">
        <f t="shared" si="5"/>
        <v/>
      </c>
      <c r="U33" s="50"/>
      <c r="V33" s="50"/>
      <c r="W33" s="397" t="str">
        <f t="shared" si="6"/>
        <v/>
      </c>
      <c r="X33" s="50"/>
      <c r="Y33" s="50"/>
      <c r="Z33" s="397" t="str">
        <f t="shared" si="7"/>
        <v/>
      </c>
      <c r="AA33" s="50"/>
      <c r="AB33" s="50"/>
      <c r="AC33" s="397" t="str">
        <f t="shared" si="8"/>
        <v/>
      </c>
      <c r="AD33" s="50"/>
      <c r="AE33" s="50"/>
      <c r="AF33" s="397" t="str">
        <f t="shared" si="9"/>
        <v/>
      </c>
      <c r="AG33" s="49"/>
      <c r="AH33" s="50"/>
      <c r="AI33" s="397" t="str">
        <f t="shared" si="10"/>
        <v/>
      </c>
      <c r="AJ33" s="50"/>
      <c r="AK33" s="50"/>
      <c r="AL33" s="397" t="str">
        <f t="shared" si="11"/>
        <v/>
      </c>
      <c r="AM33" s="396" t="str">
        <f t="shared" si="12"/>
        <v/>
      </c>
      <c r="AN33" s="396" t="str">
        <f t="shared" si="12"/>
        <v/>
      </c>
      <c r="AO33" s="396" t="str">
        <f t="shared" si="13"/>
        <v/>
      </c>
      <c r="AP33" s="396" t="str">
        <f t="shared" si="14"/>
        <v/>
      </c>
      <c r="AR33" s="35" t="str">
        <f t="shared" si="0"/>
        <v>Sembunyikan</v>
      </c>
    </row>
    <row r="34" spans="2:44">
      <c r="B34" s="7">
        <v>25</v>
      </c>
      <c r="C34" s="7" t="str">
        <f>'Data Siswa'!C28&amp;""</f>
        <v/>
      </c>
      <c r="D34" s="11" t="str">
        <f>'Data Siswa'!F28&amp;""</f>
        <v/>
      </c>
      <c r="E34" s="434"/>
      <c r="F34" s="50"/>
      <c r="G34" s="50"/>
      <c r="H34" s="397" t="str">
        <f t="shared" si="1"/>
        <v/>
      </c>
      <c r="I34" s="50"/>
      <c r="J34" s="50"/>
      <c r="K34" s="397" t="str">
        <f t="shared" si="2"/>
        <v/>
      </c>
      <c r="L34" s="50"/>
      <c r="M34" s="50"/>
      <c r="N34" s="397" t="str">
        <f t="shared" si="3"/>
        <v/>
      </c>
      <c r="O34" s="50"/>
      <c r="P34" s="50"/>
      <c r="Q34" s="397" t="str">
        <f t="shared" si="4"/>
        <v/>
      </c>
      <c r="R34" s="50"/>
      <c r="S34" s="50"/>
      <c r="T34" s="397" t="str">
        <f t="shared" si="5"/>
        <v/>
      </c>
      <c r="U34" s="50"/>
      <c r="V34" s="50"/>
      <c r="W34" s="397" t="str">
        <f t="shared" si="6"/>
        <v/>
      </c>
      <c r="X34" s="50"/>
      <c r="Y34" s="50"/>
      <c r="Z34" s="397" t="str">
        <f t="shared" si="7"/>
        <v/>
      </c>
      <c r="AA34" s="50"/>
      <c r="AB34" s="50"/>
      <c r="AC34" s="397" t="str">
        <f t="shared" si="8"/>
        <v/>
      </c>
      <c r="AD34" s="50"/>
      <c r="AE34" s="50"/>
      <c r="AF34" s="397" t="str">
        <f t="shared" si="9"/>
        <v/>
      </c>
      <c r="AG34" s="49"/>
      <c r="AH34" s="50"/>
      <c r="AI34" s="397" t="str">
        <f t="shared" si="10"/>
        <v/>
      </c>
      <c r="AJ34" s="50"/>
      <c r="AK34" s="50"/>
      <c r="AL34" s="397" t="str">
        <f t="shared" si="11"/>
        <v/>
      </c>
      <c r="AM34" s="396" t="str">
        <f t="shared" si="12"/>
        <v/>
      </c>
      <c r="AN34" s="396" t="str">
        <f t="shared" si="12"/>
        <v/>
      </c>
      <c r="AO34" s="396" t="str">
        <f t="shared" si="13"/>
        <v/>
      </c>
      <c r="AP34" s="396" t="str">
        <f t="shared" si="14"/>
        <v/>
      </c>
      <c r="AR34" s="35" t="str">
        <f t="shared" si="0"/>
        <v>Sembunyikan</v>
      </c>
    </row>
    <row r="35" spans="2:44">
      <c r="B35" s="7">
        <v>26</v>
      </c>
      <c r="C35" s="7" t="str">
        <f>'Data Siswa'!C29&amp;""</f>
        <v/>
      </c>
      <c r="D35" s="11" t="str">
        <f>'Data Siswa'!F29&amp;""</f>
        <v/>
      </c>
      <c r="E35" s="435"/>
      <c r="F35" s="50"/>
      <c r="G35" s="50"/>
      <c r="H35" s="397" t="str">
        <f t="shared" si="1"/>
        <v/>
      </c>
      <c r="I35" s="50"/>
      <c r="J35" s="50"/>
      <c r="K35" s="397" t="str">
        <f t="shared" si="2"/>
        <v/>
      </c>
      <c r="L35" s="50"/>
      <c r="M35" s="50"/>
      <c r="N35" s="397" t="str">
        <f t="shared" si="3"/>
        <v/>
      </c>
      <c r="O35" s="50"/>
      <c r="P35" s="50"/>
      <c r="Q35" s="397" t="str">
        <f t="shared" si="4"/>
        <v/>
      </c>
      <c r="R35" s="50"/>
      <c r="S35" s="50"/>
      <c r="T35" s="397" t="str">
        <f t="shared" si="5"/>
        <v/>
      </c>
      <c r="U35" s="50"/>
      <c r="V35" s="50"/>
      <c r="W35" s="397" t="str">
        <f t="shared" si="6"/>
        <v/>
      </c>
      <c r="X35" s="50"/>
      <c r="Y35" s="50"/>
      <c r="Z35" s="397" t="str">
        <f t="shared" si="7"/>
        <v/>
      </c>
      <c r="AA35" s="50"/>
      <c r="AB35" s="50"/>
      <c r="AC35" s="397" t="str">
        <f t="shared" si="8"/>
        <v/>
      </c>
      <c r="AD35" s="50"/>
      <c r="AE35" s="50"/>
      <c r="AF35" s="397" t="str">
        <f t="shared" si="9"/>
        <v/>
      </c>
      <c r="AG35" s="49"/>
      <c r="AH35" s="50"/>
      <c r="AI35" s="397" t="str">
        <f t="shared" si="10"/>
        <v/>
      </c>
      <c r="AJ35" s="50"/>
      <c r="AK35" s="50"/>
      <c r="AL35" s="397" t="str">
        <f t="shared" si="11"/>
        <v/>
      </c>
      <c r="AM35" s="396" t="str">
        <f t="shared" si="12"/>
        <v/>
      </c>
      <c r="AN35" s="396" t="str">
        <f t="shared" si="12"/>
        <v/>
      </c>
      <c r="AO35" s="396" t="str">
        <f t="shared" si="13"/>
        <v/>
      </c>
      <c r="AP35" s="396" t="str">
        <f t="shared" si="14"/>
        <v/>
      </c>
      <c r="AR35" s="35" t="str">
        <f t="shared" si="0"/>
        <v>Sembunyikan</v>
      </c>
    </row>
    <row r="36" spans="2:44">
      <c r="B36" s="7">
        <v>27</v>
      </c>
      <c r="C36" s="7" t="str">
        <f>'Data Siswa'!C30&amp;""</f>
        <v/>
      </c>
      <c r="D36" s="11" t="str">
        <f>'Data Siswa'!F30&amp;""</f>
        <v/>
      </c>
      <c r="E36" s="434"/>
      <c r="F36" s="50"/>
      <c r="G36" s="50"/>
      <c r="H36" s="397" t="str">
        <f t="shared" si="1"/>
        <v/>
      </c>
      <c r="I36" s="50"/>
      <c r="J36" s="50"/>
      <c r="K36" s="397" t="str">
        <f t="shared" si="2"/>
        <v/>
      </c>
      <c r="L36" s="50"/>
      <c r="M36" s="50"/>
      <c r="N36" s="397" t="str">
        <f t="shared" si="3"/>
        <v/>
      </c>
      <c r="O36" s="50"/>
      <c r="P36" s="50"/>
      <c r="Q36" s="397" t="str">
        <f t="shared" si="4"/>
        <v/>
      </c>
      <c r="R36" s="50"/>
      <c r="S36" s="50"/>
      <c r="T36" s="397" t="str">
        <f t="shared" si="5"/>
        <v/>
      </c>
      <c r="U36" s="50"/>
      <c r="V36" s="50"/>
      <c r="W36" s="397" t="str">
        <f t="shared" si="6"/>
        <v/>
      </c>
      <c r="X36" s="50"/>
      <c r="Y36" s="50"/>
      <c r="Z36" s="397" t="str">
        <f t="shared" si="7"/>
        <v/>
      </c>
      <c r="AA36" s="50"/>
      <c r="AB36" s="50"/>
      <c r="AC36" s="397" t="str">
        <f t="shared" si="8"/>
        <v/>
      </c>
      <c r="AD36" s="50"/>
      <c r="AE36" s="50"/>
      <c r="AF36" s="397" t="str">
        <f t="shared" si="9"/>
        <v/>
      </c>
      <c r="AG36" s="49"/>
      <c r="AH36" s="50"/>
      <c r="AI36" s="397" t="str">
        <f t="shared" si="10"/>
        <v/>
      </c>
      <c r="AJ36" s="50"/>
      <c r="AK36" s="50"/>
      <c r="AL36" s="397" t="str">
        <f t="shared" si="11"/>
        <v/>
      </c>
      <c r="AM36" s="396" t="str">
        <f t="shared" si="12"/>
        <v/>
      </c>
      <c r="AN36" s="396" t="str">
        <f t="shared" si="12"/>
        <v/>
      </c>
      <c r="AO36" s="396" t="str">
        <f t="shared" si="13"/>
        <v/>
      </c>
      <c r="AP36" s="396" t="str">
        <f t="shared" si="14"/>
        <v/>
      </c>
      <c r="AR36" s="35" t="str">
        <f t="shared" si="0"/>
        <v>Sembunyikan</v>
      </c>
    </row>
    <row r="37" spans="2:44">
      <c r="B37" s="7">
        <v>28</v>
      </c>
      <c r="C37" s="7" t="str">
        <f>'Data Siswa'!C31&amp;""</f>
        <v/>
      </c>
      <c r="D37" s="11" t="str">
        <f>'Data Siswa'!F31&amp;""</f>
        <v/>
      </c>
      <c r="E37" s="434"/>
      <c r="F37" s="50"/>
      <c r="G37" s="50"/>
      <c r="H37" s="397" t="str">
        <f t="shared" si="1"/>
        <v/>
      </c>
      <c r="I37" s="50"/>
      <c r="J37" s="50"/>
      <c r="K37" s="397" t="str">
        <f t="shared" si="2"/>
        <v/>
      </c>
      <c r="L37" s="50"/>
      <c r="M37" s="50"/>
      <c r="N37" s="397" t="str">
        <f t="shared" si="3"/>
        <v/>
      </c>
      <c r="O37" s="50"/>
      <c r="P37" s="50"/>
      <c r="Q37" s="397" t="str">
        <f t="shared" si="4"/>
        <v/>
      </c>
      <c r="R37" s="50"/>
      <c r="S37" s="50"/>
      <c r="T37" s="397" t="str">
        <f t="shared" si="5"/>
        <v/>
      </c>
      <c r="U37" s="50"/>
      <c r="V37" s="50"/>
      <c r="W37" s="397" t="str">
        <f t="shared" si="6"/>
        <v/>
      </c>
      <c r="X37" s="50"/>
      <c r="Y37" s="50"/>
      <c r="Z37" s="397" t="str">
        <f t="shared" si="7"/>
        <v/>
      </c>
      <c r="AA37" s="50"/>
      <c r="AB37" s="50"/>
      <c r="AC37" s="397" t="str">
        <f t="shared" si="8"/>
        <v/>
      </c>
      <c r="AD37" s="50"/>
      <c r="AE37" s="50"/>
      <c r="AF37" s="397" t="str">
        <f t="shared" si="9"/>
        <v/>
      </c>
      <c r="AG37" s="49"/>
      <c r="AH37" s="50"/>
      <c r="AI37" s="397" t="str">
        <f t="shared" si="10"/>
        <v/>
      </c>
      <c r="AJ37" s="50"/>
      <c r="AK37" s="50"/>
      <c r="AL37" s="397" t="str">
        <f t="shared" si="11"/>
        <v/>
      </c>
      <c r="AM37" s="396" t="str">
        <f t="shared" si="12"/>
        <v/>
      </c>
      <c r="AN37" s="396" t="str">
        <f t="shared" si="12"/>
        <v/>
      </c>
      <c r="AO37" s="396" t="str">
        <f t="shared" si="13"/>
        <v/>
      </c>
      <c r="AP37" s="396" t="str">
        <f t="shared" si="14"/>
        <v/>
      </c>
      <c r="AR37" s="35" t="str">
        <f t="shared" si="0"/>
        <v>Sembunyikan</v>
      </c>
    </row>
    <row r="38" spans="2:44">
      <c r="B38" s="7">
        <v>29</v>
      </c>
      <c r="C38" s="7" t="str">
        <f>'Data Siswa'!C32&amp;""</f>
        <v/>
      </c>
      <c r="D38" s="11" t="str">
        <f>'Data Siswa'!F32&amp;""</f>
        <v/>
      </c>
      <c r="E38" s="434"/>
      <c r="F38" s="50"/>
      <c r="G38" s="50"/>
      <c r="H38" s="397" t="str">
        <f t="shared" si="1"/>
        <v/>
      </c>
      <c r="I38" s="50"/>
      <c r="J38" s="50"/>
      <c r="K38" s="397" t="str">
        <f t="shared" si="2"/>
        <v/>
      </c>
      <c r="L38" s="50"/>
      <c r="M38" s="50"/>
      <c r="N38" s="397" t="str">
        <f t="shared" si="3"/>
        <v/>
      </c>
      <c r="O38" s="50"/>
      <c r="P38" s="50"/>
      <c r="Q38" s="397" t="str">
        <f t="shared" si="4"/>
        <v/>
      </c>
      <c r="R38" s="50"/>
      <c r="S38" s="50"/>
      <c r="T38" s="397" t="str">
        <f t="shared" si="5"/>
        <v/>
      </c>
      <c r="U38" s="50"/>
      <c r="V38" s="50"/>
      <c r="W38" s="397" t="str">
        <f t="shared" si="6"/>
        <v/>
      </c>
      <c r="X38" s="50"/>
      <c r="Y38" s="50"/>
      <c r="Z38" s="397" t="str">
        <f t="shared" si="7"/>
        <v/>
      </c>
      <c r="AA38" s="50"/>
      <c r="AB38" s="50"/>
      <c r="AC38" s="397" t="str">
        <f t="shared" si="8"/>
        <v/>
      </c>
      <c r="AD38" s="50"/>
      <c r="AE38" s="50"/>
      <c r="AF38" s="397" t="str">
        <f t="shared" si="9"/>
        <v/>
      </c>
      <c r="AG38" s="49"/>
      <c r="AH38" s="50"/>
      <c r="AI38" s="397" t="str">
        <f t="shared" si="10"/>
        <v/>
      </c>
      <c r="AJ38" s="50"/>
      <c r="AK38" s="50"/>
      <c r="AL38" s="397" t="str">
        <f t="shared" si="11"/>
        <v/>
      </c>
      <c r="AM38" s="396" t="str">
        <f t="shared" si="12"/>
        <v/>
      </c>
      <c r="AN38" s="396" t="str">
        <f t="shared" si="12"/>
        <v/>
      </c>
      <c r="AO38" s="396" t="str">
        <f t="shared" si="13"/>
        <v/>
      </c>
      <c r="AP38" s="396" t="str">
        <f t="shared" si="14"/>
        <v/>
      </c>
      <c r="AR38" s="35" t="str">
        <f t="shared" si="0"/>
        <v>Sembunyikan</v>
      </c>
    </row>
    <row r="39" spans="2:44">
      <c r="B39" s="7">
        <v>30</v>
      </c>
      <c r="C39" s="7" t="str">
        <f>'Data Siswa'!C33&amp;""</f>
        <v/>
      </c>
      <c r="D39" s="11" t="str">
        <f>'Data Siswa'!F33&amp;""</f>
        <v/>
      </c>
      <c r="E39" s="434"/>
      <c r="F39" s="50"/>
      <c r="G39" s="50"/>
      <c r="H39" s="397" t="str">
        <f t="shared" si="1"/>
        <v/>
      </c>
      <c r="I39" s="50"/>
      <c r="J39" s="50"/>
      <c r="K39" s="397" t="str">
        <f t="shared" si="2"/>
        <v/>
      </c>
      <c r="L39" s="50"/>
      <c r="M39" s="50"/>
      <c r="N39" s="397" t="str">
        <f t="shared" si="3"/>
        <v/>
      </c>
      <c r="O39" s="50"/>
      <c r="P39" s="50"/>
      <c r="Q39" s="397" t="str">
        <f t="shared" si="4"/>
        <v/>
      </c>
      <c r="R39" s="50"/>
      <c r="S39" s="50"/>
      <c r="T39" s="397" t="str">
        <f t="shared" si="5"/>
        <v/>
      </c>
      <c r="U39" s="50"/>
      <c r="V39" s="50"/>
      <c r="W39" s="397" t="str">
        <f t="shared" si="6"/>
        <v/>
      </c>
      <c r="X39" s="50"/>
      <c r="Y39" s="50"/>
      <c r="Z39" s="397" t="str">
        <f t="shared" si="7"/>
        <v/>
      </c>
      <c r="AA39" s="50"/>
      <c r="AB39" s="50"/>
      <c r="AC39" s="397" t="str">
        <f t="shared" si="8"/>
        <v/>
      </c>
      <c r="AD39" s="50"/>
      <c r="AE39" s="50"/>
      <c r="AF39" s="397" t="str">
        <f t="shared" si="9"/>
        <v/>
      </c>
      <c r="AG39" s="49"/>
      <c r="AH39" s="50"/>
      <c r="AI39" s="397" t="str">
        <f t="shared" si="10"/>
        <v/>
      </c>
      <c r="AJ39" s="50"/>
      <c r="AK39" s="50"/>
      <c r="AL39" s="397" t="str">
        <f t="shared" si="11"/>
        <v/>
      </c>
      <c r="AM39" s="396" t="str">
        <f t="shared" si="12"/>
        <v/>
      </c>
      <c r="AN39" s="396" t="str">
        <f t="shared" si="12"/>
        <v/>
      </c>
      <c r="AO39" s="396" t="str">
        <f t="shared" si="13"/>
        <v/>
      </c>
      <c r="AP39" s="396" t="str">
        <f t="shared" si="14"/>
        <v/>
      </c>
      <c r="AR39" s="35" t="str">
        <f t="shared" si="0"/>
        <v>Sembunyikan</v>
      </c>
    </row>
    <row r="40" spans="2:44">
      <c r="B40" s="7">
        <v>31</v>
      </c>
      <c r="C40" s="7" t="str">
        <f>'Data Siswa'!C34&amp;""</f>
        <v/>
      </c>
      <c r="D40" s="11" t="str">
        <f>'Data Siswa'!F34&amp;""</f>
        <v/>
      </c>
      <c r="E40" s="434"/>
      <c r="F40" s="50"/>
      <c r="G40" s="50"/>
      <c r="H40" s="397" t="str">
        <f t="shared" si="1"/>
        <v/>
      </c>
      <c r="I40" s="50"/>
      <c r="J40" s="50"/>
      <c r="K40" s="397" t="str">
        <f t="shared" si="2"/>
        <v/>
      </c>
      <c r="L40" s="50"/>
      <c r="M40" s="50"/>
      <c r="N40" s="397" t="str">
        <f t="shared" si="3"/>
        <v/>
      </c>
      <c r="O40" s="50"/>
      <c r="P40" s="50"/>
      <c r="Q40" s="397" t="str">
        <f t="shared" si="4"/>
        <v/>
      </c>
      <c r="R40" s="50"/>
      <c r="S40" s="50"/>
      <c r="T40" s="397" t="str">
        <f t="shared" si="5"/>
        <v/>
      </c>
      <c r="U40" s="50"/>
      <c r="V40" s="50"/>
      <c r="W40" s="397" t="str">
        <f t="shared" si="6"/>
        <v/>
      </c>
      <c r="X40" s="50"/>
      <c r="Y40" s="50"/>
      <c r="Z40" s="397" t="str">
        <f t="shared" si="7"/>
        <v/>
      </c>
      <c r="AA40" s="50"/>
      <c r="AB40" s="50"/>
      <c r="AC40" s="397" t="str">
        <f t="shared" si="8"/>
        <v/>
      </c>
      <c r="AD40" s="50"/>
      <c r="AE40" s="50"/>
      <c r="AF40" s="397" t="str">
        <f t="shared" si="9"/>
        <v/>
      </c>
      <c r="AG40" s="49"/>
      <c r="AH40" s="50"/>
      <c r="AI40" s="397" t="str">
        <f t="shared" si="10"/>
        <v/>
      </c>
      <c r="AJ40" s="50"/>
      <c r="AK40" s="50"/>
      <c r="AL40" s="397" t="str">
        <f t="shared" si="11"/>
        <v/>
      </c>
      <c r="AM40" s="396" t="str">
        <f t="shared" si="12"/>
        <v/>
      </c>
      <c r="AN40" s="396" t="str">
        <f t="shared" si="12"/>
        <v/>
      </c>
      <c r="AO40" s="396" t="str">
        <f t="shared" si="13"/>
        <v/>
      </c>
      <c r="AP40" s="396" t="str">
        <f t="shared" si="14"/>
        <v/>
      </c>
      <c r="AR40" s="35" t="str">
        <f t="shared" si="0"/>
        <v>Sembunyikan</v>
      </c>
    </row>
    <row r="41" spans="2:44">
      <c r="B41" s="7">
        <v>32</v>
      </c>
      <c r="C41" s="7" t="str">
        <f>'Data Siswa'!C35&amp;""</f>
        <v/>
      </c>
      <c r="D41" s="11" t="str">
        <f>'Data Siswa'!F35&amp;""</f>
        <v/>
      </c>
      <c r="E41" s="434"/>
      <c r="F41" s="50"/>
      <c r="G41" s="50"/>
      <c r="H41" s="397" t="str">
        <f t="shared" si="1"/>
        <v/>
      </c>
      <c r="I41" s="50"/>
      <c r="J41" s="50"/>
      <c r="K41" s="397" t="str">
        <f t="shared" si="2"/>
        <v/>
      </c>
      <c r="L41" s="50"/>
      <c r="M41" s="50"/>
      <c r="N41" s="397" t="str">
        <f t="shared" si="3"/>
        <v/>
      </c>
      <c r="O41" s="50"/>
      <c r="P41" s="50"/>
      <c r="Q41" s="397" t="str">
        <f t="shared" si="4"/>
        <v/>
      </c>
      <c r="R41" s="50"/>
      <c r="S41" s="50"/>
      <c r="T41" s="397" t="str">
        <f t="shared" si="5"/>
        <v/>
      </c>
      <c r="U41" s="50"/>
      <c r="V41" s="50"/>
      <c r="W41" s="397" t="str">
        <f t="shared" si="6"/>
        <v/>
      </c>
      <c r="X41" s="50"/>
      <c r="Y41" s="50"/>
      <c r="Z41" s="397" t="str">
        <f t="shared" si="7"/>
        <v/>
      </c>
      <c r="AA41" s="50"/>
      <c r="AB41" s="50"/>
      <c r="AC41" s="397" t="str">
        <f t="shared" si="8"/>
        <v/>
      </c>
      <c r="AD41" s="50"/>
      <c r="AE41" s="50"/>
      <c r="AF41" s="397" t="str">
        <f t="shared" si="9"/>
        <v/>
      </c>
      <c r="AG41" s="49"/>
      <c r="AH41" s="50"/>
      <c r="AI41" s="397" t="str">
        <f t="shared" si="10"/>
        <v/>
      </c>
      <c r="AJ41" s="50"/>
      <c r="AK41" s="50"/>
      <c r="AL41" s="397" t="str">
        <f t="shared" si="11"/>
        <v/>
      </c>
      <c r="AM41" s="396" t="str">
        <f t="shared" si="12"/>
        <v/>
      </c>
      <c r="AN41" s="396" t="str">
        <f t="shared" si="12"/>
        <v/>
      </c>
      <c r="AO41" s="396" t="str">
        <f t="shared" si="13"/>
        <v/>
      </c>
      <c r="AP41" s="396" t="str">
        <f t="shared" si="14"/>
        <v/>
      </c>
      <c r="AR41" s="35" t="str">
        <f t="shared" si="0"/>
        <v>Sembunyikan</v>
      </c>
    </row>
    <row r="42" spans="2:44">
      <c r="B42" s="7">
        <v>33</v>
      </c>
      <c r="C42" s="7" t="str">
        <f>'Data Siswa'!C36&amp;""</f>
        <v/>
      </c>
      <c r="D42" s="11" t="str">
        <f>'Data Siswa'!F36&amp;""</f>
        <v/>
      </c>
      <c r="E42" s="434"/>
      <c r="F42" s="50"/>
      <c r="G42" s="50"/>
      <c r="H42" s="397" t="str">
        <f t="shared" si="1"/>
        <v/>
      </c>
      <c r="I42" s="50"/>
      <c r="J42" s="50"/>
      <c r="K42" s="397" t="str">
        <f t="shared" si="2"/>
        <v/>
      </c>
      <c r="L42" s="50"/>
      <c r="M42" s="50"/>
      <c r="N42" s="397" t="str">
        <f t="shared" si="3"/>
        <v/>
      </c>
      <c r="O42" s="50"/>
      <c r="P42" s="50"/>
      <c r="Q42" s="397" t="str">
        <f t="shared" si="4"/>
        <v/>
      </c>
      <c r="R42" s="50"/>
      <c r="S42" s="50"/>
      <c r="T42" s="397" t="str">
        <f t="shared" si="5"/>
        <v/>
      </c>
      <c r="U42" s="50"/>
      <c r="V42" s="50"/>
      <c r="W42" s="397" t="str">
        <f t="shared" si="6"/>
        <v/>
      </c>
      <c r="X42" s="50"/>
      <c r="Y42" s="50"/>
      <c r="Z42" s="397" t="str">
        <f t="shared" si="7"/>
        <v/>
      </c>
      <c r="AA42" s="50"/>
      <c r="AB42" s="50"/>
      <c r="AC42" s="397" t="str">
        <f t="shared" si="8"/>
        <v/>
      </c>
      <c r="AD42" s="50"/>
      <c r="AE42" s="50"/>
      <c r="AF42" s="397" t="str">
        <f t="shared" si="9"/>
        <v/>
      </c>
      <c r="AG42" s="49"/>
      <c r="AH42" s="50"/>
      <c r="AI42" s="397" t="str">
        <f t="shared" si="10"/>
        <v/>
      </c>
      <c r="AJ42" s="50"/>
      <c r="AK42" s="50"/>
      <c r="AL42" s="397" t="str">
        <f t="shared" si="11"/>
        <v/>
      </c>
      <c r="AM42" s="396" t="str">
        <f t="shared" si="12"/>
        <v/>
      </c>
      <c r="AN42" s="396" t="str">
        <f t="shared" si="12"/>
        <v/>
      </c>
      <c r="AO42" s="396" t="str">
        <f t="shared" si="13"/>
        <v/>
      </c>
      <c r="AP42" s="396" t="str">
        <f t="shared" si="14"/>
        <v/>
      </c>
      <c r="AR42" s="35" t="str">
        <f t="shared" ref="AR42:AR59" si="15">IF(D42="","Sembunyikan","Data")</f>
        <v>Sembunyikan</v>
      </c>
    </row>
    <row r="43" spans="2:44">
      <c r="B43" s="7">
        <v>34</v>
      </c>
      <c r="C43" s="7" t="str">
        <f>'Data Siswa'!C37&amp;""</f>
        <v/>
      </c>
      <c r="D43" s="11" t="str">
        <f>'Data Siswa'!F37&amp;""</f>
        <v/>
      </c>
      <c r="E43" s="434"/>
      <c r="F43" s="50"/>
      <c r="G43" s="50"/>
      <c r="H43" s="397" t="str">
        <f t="shared" si="1"/>
        <v/>
      </c>
      <c r="I43" s="50"/>
      <c r="J43" s="50"/>
      <c r="K43" s="397" t="str">
        <f t="shared" si="2"/>
        <v/>
      </c>
      <c r="L43" s="50"/>
      <c r="M43" s="50"/>
      <c r="N43" s="397" t="str">
        <f t="shared" si="3"/>
        <v/>
      </c>
      <c r="O43" s="50"/>
      <c r="P43" s="50"/>
      <c r="Q43" s="397" t="str">
        <f t="shared" si="4"/>
        <v/>
      </c>
      <c r="R43" s="50"/>
      <c r="S43" s="50"/>
      <c r="T43" s="397" t="str">
        <f t="shared" si="5"/>
        <v/>
      </c>
      <c r="U43" s="50"/>
      <c r="V43" s="50"/>
      <c r="W43" s="397" t="str">
        <f t="shared" si="6"/>
        <v/>
      </c>
      <c r="X43" s="50"/>
      <c r="Y43" s="50"/>
      <c r="Z43" s="397" t="str">
        <f t="shared" si="7"/>
        <v/>
      </c>
      <c r="AA43" s="50"/>
      <c r="AB43" s="50"/>
      <c r="AC43" s="397" t="str">
        <f t="shared" si="8"/>
        <v/>
      </c>
      <c r="AD43" s="50"/>
      <c r="AE43" s="50"/>
      <c r="AF43" s="397" t="str">
        <f t="shared" si="9"/>
        <v/>
      </c>
      <c r="AG43" s="49"/>
      <c r="AH43" s="50"/>
      <c r="AI43" s="397" t="str">
        <f t="shared" si="10"/>
        <v/>
      </c>
      <c r="AJ43" s="50"/>
      <c r="AK43" s="50"/>
      <c r="AL43" s="397" t="str">
        <f t="shared" si="11"/>
        <v/>
      </c>
      <c r="AM43" s="396" t="str">
        <f t="shared" si="12"/>
        <v/>
      </c>
      <c r="AN43" s="396" t="str">
        <f t="shared" si="12"/>
        <v/>
      </c>
      <c r="AO43" s="396" t="str">
        <f t="shared" si="13"/>
        <v/>
      </c>
      <c r="AP43" s="396" t="str">
        <f t="shared" si="14"/>
        <v/>
      </c>
      <c r="AR43" s="35" t="str">
        <f t="shared" si="15"/>
        <v>Sembunyikan</v>
      </c>
    </row>
    <row r="44" spans="2:44">
      <c r="B44" s="7">
        <v>35</v>
      </c>
      <c r="C44" s="7" t="str">
        <f>'Data Siswa'!C38&amp;""</f>
        <v/>
      </c>
      <c r="D44" s="11" t="str">
        <f>'Data Siswa'!F38&amp;""</f>
        <v/>
      </c>
      <c r="E44" s="434"/>
      <c r="F44" s="50"/>
      <c r="G44" s="50"/>
      <c r="H44" s="397" t="str">
        <f t="shared" si="1"/>
        <v/>
      </c>
      <c r="I44" s="50"/>
      <c r="J44" s="50"/>
      <c r="K44" s="397" t="str">
        <f t="shared" si="2"/>
        <v/>
      </c>
      <c r="L44" s="50"/>
      <c r="M44" s="50"/>
      <c r="N44" s="397" t="str">
        <f t="shared" si="3"/>
        <v/>
      </c>
      <c r="O44" s="50"/>
      <c r="P44" s="50"/>
      <c r="Q44" s="397" t="str">
        <f t="shared" si="4"/>
        <v/>
      </c>
      <c r="R44" s="50"/>
      <c r="S44" s="50"/>
      <c r="T44" s="397" t="str">
        <f t="shared" si="5"/>
        <v/>
      </c>
      <c r="U44" s="50"/>
      <c r="V44" s="50"/>
      <c r="W44" s="397" t="str">
        <f t="shared" si="6"/>
        <v/>
      </c>
      <c r="X44" s="50"/>
      <c r="Y44" s="50"/>
      <c r="Z44" s="397" t="str">
        <f t="shared" si="7"/>
        <v/>
      </c>
      <c r="AA44" s="50"/>
      <c r="AB44" s="50"/>
      <c r="AC44" s="397" t="str">
        <f t="shared" si="8"/>
        <v/>
      </c>
      <c r="AD44" s="50"/>
      <c r="AE44" s="50"/>
      <c r="AF44" s="397" t="str">
        <f t="shared" si="9"/>
        <v/>
      </c>
      <c r="AG44" s="49"/>
      <c r="AH44" s="50"/>
      <c r="AI44" s="397" t="str">
        <f t="shared" si="10"/>
        <v/>
      </c>
      <c r="AJ44" s="50"/>
      <c r="AK44" s="50"/>
      <c r="AL44" s="397" t="str">
        <f t="shared" si="11"/>
        <v/>
      </c>
      <c r="AM44" s="396" t="str">
        <f t="shared" si="12"/>
        <v/>
      </c>
      <c r="AN44" s="396" t="str">
        <f t="shared" si="12"/>
        <v/>
      </c>
      <c r="AO44" s="396" t="str">
        <f t="shared" si="13"/>
        <v/>
      </c>
      <c r="AP44" s="396" t="str">
        <f t="shared" si="14"/>
        <v/>
      </c>
      <c r="AR44" s="35" t="str">
        <f t="shared" si="15"/>
        <v>Sembunyikan</v>
      </c>
    </row>
    <row r="45" spans="2:44">
      <c r="B45" s="7">
        <v>36</v>
      </c>
      <c r="C45" s="7" t="str">
        <f>'Data Siswa'!C39&amp;""</f>
        <v/>
      </c>
      <c r="D45" s="11" t="str">
        <f>'Data Siswa'!F39&amp;""</f>
        <v/>
      </c>
      <c r="E45" s="434"/>
      <c r="F45" s="50"/>
      <c r="G45" s="50"/>
      <c r="H45" s="397" t="str">
        <f t="shared" si="1"/>
        <v/>
      </c>
      <c r="I45" s="50"/>
      <c r="J45" s="50"/>
      <c r="K45" s="397" t="str">
        <f t="shared" si="2"/>
        <v/>
      </c>
      <c r="L45" s="50"/>
      <c r="M45" s="50"/>
      <c r="N45" s="397" t="str">
        <f t="shared" si="3"/>
        <v/>
      </c>
      <c r="O45" s="50"/>
      <c r="P45" s="50"/>
      <c r="Q45" s="397" t="str">
        <f t="shared" si="4"/>
        <v/>
      </c>
      <c r="R45" s="50"/>
      <c r="S45" s="50"/>
      <c r="T45" s="397" t="str">
        <f t="shared" si="5"/>
        <v/>
      </c>
      <c r="U45" s="50"/>
      <c r="V45" s="50"/>
      <c r="W45" s="397" t="str">
        <f t="shared" si="6"/>
        <v/>
      </c>
      <c r="X45" s="50"/>
      <c r="Y45" s="50"/>
      <c r="Z45" s="397" t="str">
        <f t="shared" si="7"/>
        <v/>
      </c>
      <c r="AA45" s="50"/>
      <c r="AB45" s="50"/>
      <c r="AC45" s="397" t="str">
        <f t="shared" si="8"/>
        <v/>
      </c>
      <c r="AD45" s="50"/>
      <c r="AE45" s="50"/>
      <c r="AF45" s="397" t="str">
        <f t="shared" si="9"/>
        <v/>
      </c>
      <c r="AG45" s="49"/>
      <c r="AH45" s="50"/>
      <c r="AI45" s="397" t="str">
        <f t="shared" si="10"/>
        <v/>
      </c>
      <c r="AJ45" s="50"/>
      <c r="AK45" s="50"/>
      <c r="AL45" s="397" t="str">
        <f t="shared" si="11"/>
        <v/>
      </c>
      <c r="AM45" s="396" t="str">
        <f t="shared" si="12"/>
        <v/>
      </c>
      <c r="AN45" s="396" t="str">
        <f t="shared" si="12"/>
        <v/>
      </c>
      <c r="AO45" s="396" t="str">
        <f t="shared" si="13"/>
        <v/>
      </c>
      <c r="AP45" s="396" t="str">
        <f t="shared" si="14"/>
        <v/>
      </c>
      <c r="AR45" s="35" t="str">
        <f t="shared" si="15"/>
        <v>Sembunyikan</v>
      </c>
    </row>
    <row r="46" spans="2:44">
      <c r="B46" s="7">
        <v>37</v>
      </c>
      <c r="C46" s="7" t="str">
        <f>'Data Siswa'!C40&amp;""</f>
        <v/>
      </c>
      <c r="D46" s="11" t="str">
        <f>'Data Siswa'!F40&amp;""</f>
        <v/>
      </c>
      <c r="E46" s="434"/>
      <c r="F46" s="50"/>
      <c r="G46" s="50"/>
      <c r="H46" s="397" t="str">
        <f t="shared" si="1"/>
        <v/>
      </c>
      <c r="I46" s="50"/>
      <c r="J46" s="50"/>
      <c r="K46" s="397" t="str">
        <f t="shared" si="2"/>
        <v/>
      </c>
      <c r="L46" s="50"/>
      <c r="M46" s="50"/>
      <c r="N46" s="397" t="str">
        <f t="shared" si="3"/>
        <v/>
      </c>
      <c r="O46" s="50"/>
      <c r="P46" s="50"/>
      <c r="Q46" s="397" t="str">
        <f t="shared" si="4"/>
        <v/>
      </c>
      <c r="R46" s="50"/>
      <c r="S46" s="50"/>
      <c r="T46" s="397" t="str">
        <f t="shared" si="5"/>
        <v/>
      </c>
      <c r="U46" s="50"/>
      <c r="V46" s="50"/>
      <c r="W46" s="397" t="str">
        <f t="shared" si="6"/>
        <v/>
      </c>
      <c r="X46" s="50"/>
      <c r="Y46" s="50"/>
      <c r="Z46" s="397" t="str">
        <f t="shared" si="7"/>
        <v/>
      </c>
      <c r="AA46" s="50"/>
      <c r="AB46" s="50"/>
      <c r="AC46" s="397" t="str">
        <f t="shared" si="8"/>
        <v/>
      </c>
      <c r="AD46" s="50"/>
      <c r="AE46" s="50"/>
      <c r="AF46" s="397" t="str">
        <f t="shared" si="9"/>
        <v/>
      </c>
      <c r="AG46" s="49"/>
      <c r="AH46" s="50"/>
      <c r="AI46" s="397" t="str">
        <f t="shared" si="10"/>
        <v/>
      </c>
      <c r="AJ46" s="50"/>
      <c r="AK46" s="50"/>
      <c r="AL46" s="397" t="str">
        <f t="shared" si="11"/>
        <v/>
      </c>
      <c r="AM46" s="396" t="str">
        <f t="shared" si="12"/>
        <v/>
      </c>
      <c r="AN46" s="396" t="str">
        <f t="shared" si="12"/>
        <v/>
      </c>
      <c r="AO46" s="396" t="str">
        <f t="shared" si="13"/>
        <v/>
      </c>
      <c r="AP46" s="396" t="str">
        <f t="shared" si="14"/>
        <v/>
      </c>
      <c r="AR46" s="35" t="str">
        <f t="shared" si="15"/>
        <v>Sembunyikan</v>
      </c>
    </row>
    <row r="47" spans="2:44">
      <c r="B47" s="7">
        <v>38</v>
      </c>
      <c r="C47" s="7" t="str">
        <f>'Data Siswa'!C41&amp;""</f>
        <v/>
      </c>
      <c r="D47" s="11" t="str">
        <f>'Data Siswa'!F41&amp;""</f>
        <v/>
      </c>
      <c r="E47" s="434"/>
      <c r="F47" s="50"/>
      <c r="G47" s="50"/>
      <c r="H47" s="397" t="str">
        <f t="shared" si="1"/>
        <v/>
      </c>
      <c r="I47" s="50"/>
      <c r="J47" s="50"/>
      <c r="K47" s="397" t="str">
        <f t="shared" si="2"/>
        <v/>
      </c>
      <c r="L47" s="50"/>
      <c r="M47" s="50"/>
      <c r="N47" s="397" t="str">
        <f t="shared" si="3"/>
        <v/>
      </c>
      <c r="O47" s="50"/>
      <c r="P47" s="50"/>
      <c r="Q47" s="397" t="str">
        <f t="shared" si="4"/>
        <v/>
      </c>
      <c r="R47" s="50"/>
      <c r="S47" s="50"/>
      <c r="T47" s="397" t="str">
        <f t="shared" si="5"/>
        <v/>
      </c>
      <c r="U47" s="50"/>
      <c r="V47" s="50"/>
      <c r="W47" s="397" t="str">
        <f t="shared" si="6"/>
        <v/>
      </c>
      <c r="X47" s="50"/>
      <c r="Y47" s="50"/>
      <c r="Z47" s="397" t="str">
        <f t="shared" si="7"/>
        <v/>
      </c>
      <c r="AA47" s="50"/>
      <c r="AB47" s="50"/>
      <c r="AC47" s="397" t="str">
        <f t="shared" si="8"/>
        <v/>
      </c>
      <c r="AD47" s="50"/>
      <c r="AE47" s="50"/>
      <c r="AF47" s="397" t="str">
        <f t="shared" si="9"/>
        <v/>
      </c>
      <c r="AG47" s="49"/>
      <c r="AH47" s="50"/>
      <c r="AI47" s="397" t="str">
        <f t="shared" si="10"/>
        <v/>
      </c>
      <c r="AJ47" s="50"/>
      <c r="AK47" s="50"/>
      <c r="AL47" s="397" t="str">
        <f t="shared" si="11"/>
        <v/>
      </c>
      <c r="AM47" s="396" t="str">
        <f t="shared" si="12"/>
        <v/>
      </c>
      <c r="AN47" s="396" t="str">
        <f t="shared" si="12"/>
        <v/>
      </c>
      <c r="AO47" s="396" t="str">
        <f t="shared" si="13"/>
        <v/>
      </c>
      <c r="AP47" s="396" t="str">
        <f t="shared" si="14"/>
        <v/>
      </c>
      <c r="AR47" s="35" t="str">
        <f t="shared" si="15"/>
        <v>Sembunyikan</v>
      </c>
    </row>
    <row r="48" spans="2:44">
      <c r="B48" s="7">
        <v>39</v>
      </c>
      <c r="C48" s="7" t="str">
        <f>'Data Siswa'!C42&amp;""</f>
        <v/>
      </c>
      <c r="D48" s="11" t="str">
        <f>'Data Siswa'!F42&amp;""</f>
        <v/>
      </c>
      <c r="E48" s="434"/>
      <c r="F48" s="50"/>
      <c r="G48" s="50"/>
      <c r="H48" s="397" t="str">
        <f t="shared" si="1"/>
        <v/>
      </c>
      <c r="I48" s="50"/>
      <c r="J48" s="50"/>
      <c r="K48" s="397" t="str">
        <f t="shared" si="2"/>
        <v/>
      </c>
      <c r="L48" s="50"/>
      <c r="M48" s="50"/>
      <c r="N48" s="397" t="str">
        <f t="shared" si="3"/>
        <v/>
      </c>
      <c r="O48" s="50"/>
      <c r="P48" s="50"/>
      <c r="Q48" s="397" t="str">
        <f t="shared" si="4"/>
        <v/>
      </c>
      <c r="R48" s="50"/>
      <c r="S48" s="50"/>
      <c r="T48" s="397" t="str">
        <f t="shared" si="5"/>
        <v/>
      </c>
      <c r="U48" s="50"/>
      <c r="V48" s="50"/>
      <c r="W48" s="397" t="str">
        <f t="shared" si="6"/>
        <v/>
      </c>
      <c r="X48" s="50"/>
      <c r="Y48" s="50"/>
      <c r="Z48" s="397" t="str">
        <f t="shared" si="7"/>
        <v/>
      </c>
      <c r="AA48" s="50"/>
      <c r="AB48" s="50"/>
      <c r="AC48" s="397" t="str">
        <f t="shared" si="8"/>
        <v/>
      </c>
      <c r="AD48" s="50"/>
      <c r="AE48" s="50"/>
      <c r="AF48" s="397" t="str">
        <f t="shared" si="9"/>
        <v/>
      </c>
      <c r="AG48" s="49"/>
      <c r="AH48" s="50"/>
      <c r="AI48" s="397" t="str">
        <f t="shared" si="10"/>
        <v/>
      </c>
      <c r="AJ48" s="50"/>
      <c r="AK48" s="50"/>
      <c r="AL48" s="397" t="str">
        <f t="shared" si="11"/>
        <v/>
      </c>
      <c r="AM48" s="396" t="str">
        <f t="shared" si="12"/>
        <v/>
      </c>
      <c r="AN48" s="396" t="str">
        <f t="shared" si="12"/>
        <v/>
      </c>
      <c r="AO48" s="396" t="str">
        <f t="shared" si="13"/>
        <v/>
      </c>
      <c r="AP48" s="396" t="str">
        <f t="shared" si="14"/>
        <v/>
      </c>
      <c r="AR48" s="35" t="str">
        <f t="shared" si="15"/>
        <v>Sembunyikan</v>
      </c>
    </row>
    <row r="49" spans="2:44">
      <c r="B49" s="7">
        <v>40</v>
      </c>
      <c r="C49" s="7" t="str">
        <f>'Data Siswa'!C43&amp;""</f>
        <v/>
      </c>
      <c r="D49" s="11" t="str">
        <f>'Data Siswa'!F43&amp;""</f>
        <v/>
      </c>
      <c r="E49" s="434"/>
      <c r="F49" s="50"/>
      <c r="G49" s="50"/>
      <c r="H49" s="397" t="str">
        <f t="shared" si="1"/>
        <v/>
      </c>
      <c r="I49" s="50"/>
      <c r="J49" s="50"/>
      <c r="K49" s="397" t="str">
        <f t="shared" si="2"/>
        <v/>
      </c>
      <c r="L49" s="50"/>
      <c r="M49" s="50"/>
      <c r="N49" s="397" t="str">
        <f t="shared" si="3"/>
        <v/>
      </c>
      <c r="O49" s="50"/>
      <c r="P49" s="50"/>
      <c r="Q49" s="397" t="str">
        <f t="shared" si="4"/>
        <v/>
      </c>
      <c r="R49" s="50"/>
      <c r="S49" s="50"/>
      <c r="T49" s="397" t="str">
        <f t="shared" si="5"/>
        <v/>
      </c>
      <c r="U49" s="50"/>
      <c r="V49" s="50"/>
      <c r="W49" s="397" t="str">
        <f t="shared" si="6"/>
        <v/>
      </c>
      <c r="X49" s="50"/>
      <c r="Y49" s="50"/>
      <c r="Z49" s="397" t="str">
        <f t="shared" si="7"/>
        <v/>
      </c>
      <c r="AA49" s="50"/>
      <c r="AB49" s="50"/>
      <c r="AC49" s="397" t="str">
        <f t="shared" si="8"/>
        <v/>
      </c>
      <c r="AD49" s="50"/>
      <c r="AE49" s="50"/>
      <c r="AF49" s="397" t="str">
        <f t="shared" si="9"/>
        <v/>
      </c>
      <c r="AG49" s="49"/>
      <c r="AH49" s="50"/>
      <c r="AI49" s="397" t="str">
        <f t="shared" si="10"/>
        <v/>
      </c>
      <c r="AJ49" s="50"/>
      <c r="AK49" s="50"/>
      <c r="AL49" s="397" t="str">
        <f t="shared" si="11"/>
        <v/>
      </c>
      <c r="AM49" s="396" t="str">
        <f t="shared" si="12"/>
        <v/>
      </c>
      <c r="AN49" s="396" t="str">
        <f t="shared" si="12"/>
        <v/>
      </c>
      <c r="AO49" s="396" t="str">
        <f t="shared" si="13"/>
        <v/>
      </c>
      <c r="AP49" s="396" t="str">
        <f t="shared" si="14"/>
        <v/>
      </c>
      <c r="AR49" s="35" t="str">
        <f t="shared" si="15"/>
        <v>Sembunyikan</v>
      </c>
    </row>
    <row r="50" spans="2:44">
      <c r="B50" s="7">
        <v>41</v>
      </c>
      <c r="C50" s="7" t="str">
        <f>'Data Siswa'!C44&amp;""</f>
        <v/>
      </c>
      <c r="D50" s="11" t="str">
        <f>'Data Siswa'!F44&amp;""</f>
        <v/>
      </c>
      <c r="E50" s="434"/>
      <c r="F50" s="50"/>
      <c r="G50" s="50"/>
      <c r="H50" s="397" t="str">
        <f t="shared" si="1"/>
        <v/>
      </c>
      <c r="I50" s="50"/>
      <c r="J50" s="50"/>
      <c r="K50" s="397" t="str">
        <f t="shared" si="2"/>
        <v/>
      </c>
      <c r="L50" s="50"/>
      <c r="M50" s="50"/>
      <c r="N50" s="397" t="str">
        <f t="shared" si="3"/>
        <v/>
      </c>
      <c r="O50" s="50"/>
      <c r="P50" s="50"/>
      <c r="Q50" s="397" t="str">
        <f t="shared" si="4"/>
        <v/>
      </c>
      <c r="R50" s="50"/>
      <c r="S50" s="50"/>
      <c r="T50" s="397" t="str">
        <f t="shared" si="5"/>
        <v/>
      </c>
      <c r="U50" s="50"/>
      <c r="V50" s="50"/>
      <c r="W50" s="397" t="str">
        <f t="shared" si="6"/>
        <v/>
      </c>
      <c r="X50" s="50"/>
      <c r="Y50" s="50"/>
      <c r="Z50" s="397" t="str">
        <f t="shared" si="7"/>
        <v/>
      </c>
      <c r="AA50" s="50"/>
      <c r="AB50" s="50"/>
      <c r="AC50" s="397" t="str">
        <f t="shared" si="8"/>
        <v/>
      </c>
      <c r="AD50" s="50"/>
      <c r="AE50" s="50"/>
      <c r="AF50" s="397" t="str">
        <f t="shared" si="9"/>
        <v/>
      </c>
      <c r="AG50" s="49"/>
      <c r="AH50" s="50"/>
      <c r="AI50" s="397" t="str">
        <f t="shared" si="10"/>
        <v/>
      </c>
      <c r="AJ50" s="50"/>
      <c r="AK50" s="50"/>
      <c r="AL50" s="397" t="str">
        <f t="shared" si="11"/>
        <v/>
      </c>
      <c r="AM50" s="396" t="str">
        <f t="shared" si="12"/>
        <v/>
      </c>
      <c r="AN50" s="396" t="str">
        <f t="shared" si="12"/>
        <v/>
      </c>
      <c r="AO50" s="396" t="str">
        <f t="shared" si="13"/>
        <v/>
      </c>
      <c r="AP50" s="396" t="str">
        <f t="shared" si="14"/>
        <v/>
      </c>
      <c r="AR50" s="35" t="str">
        <f t="shared" si="15"/>
        <v>Sembunyikan</v>
      </c>
    </row>
    <row r="51" spans="2:44">
      <c r="B51" s="7">
        <v>42</v>
      </c>
      <c r="C51" s="7" t="str">
        <f>'Data Siswa'!C45&amp;""</f>
        <v/>
      </c>
      <c r="D51" s="11" t="str">
        <f>'Data Siswa'!F45&amp;""</f>
        <v/>
      </c>
      <c r="E51" s="434"/>
      <c r="F51" s="50"/>
      <c r="G51" s="50"/>
      <c r="H51" s="397" t="str">
        <f t="shared" si="1"/>
        <v/>
      </c>
      <c r="I51" s="50"/>
      <c r="J51" s="50"/>
      <c r="K51" s="397" t="str">
        <f t="shared" si="2"/>
        <v/>
      </c>
      <c r="L51" s="50"/>
      <c r="M51" s="50"/>
      <c r="N51" s="397" t="str">
        <f t="shared" si="3"/>
        <v/>
      </c>
      <c r="O51" s="50"/>
      <c r="P51" s="50"/>
      <c r="Q51" s="397" t="str">
        <f t="shared" si="4"/>
        <v/>
      </c>
      <c r="R51" s="50"/>
      <c r="S51" s="50"/>
      <c r="T51" s="397" t="str">
        <f t="shared" si="5"/>
        <v/>
      </c>
      <c r="U51" s="50"/>
      <c r="V51" s="50"/>
      <c r="W51" s="397" t="str">
        <f t="shared" si="6"/>
        <v/>
      </c>
      <c r="X51" s="50"/>
      <c r="Y51" s="50"/>
      <c r="Z51" s="397" t="str">
        <f t="shared" si="7"/>
        <v/>
      </c>
      <c r="AA51" s="50"/>
      <c r="AB51" s="50"/>
      <c r="AC51" s="397" t="str">
        <f t="shared" si="8"/>
        <v/>
      </c>
      <c r="AD51" s="50"/>
      <c r="AE51" s="50"/>
      <c r="AF51" s="397" t="str">
        <f t="shared" si="9"/>
        <v/>
      </c>
      <c r="AG51" s="49"/>
      <c r="AH51" s="50"/>
      <c r="AI51" s="397" t="str">
        <f t="shared" si="10"/>
        <v/>
      </c>
      <c r="AJ51" s="50"/>
      <c r="AK51" s="50"/>
      <c r="AL51" s="397" t="str">
        <f t="shared" si="11"/>
        <v/>
      </c>
      <c r="AM51" s="396" t="str">
        <f t="shared" si="12"/>
        <v/>
      </c>
      <c r="AN51" s="396" t="str">
        <f t="shared" si="12"/>
        <v/>
      </c>
      <c r="AO51" s="396" t="str">
        <f t="shared" si="13"/>
        <v/>
      </c>
      <c r="AP51" s="396" t="str">
        <f t="shared" si="14"/>
        <v/>
      </c>
      <c r="AR51" s="35" t="str">
        <f t="shared" si="15"/>
        <v>Sembunyikan</v>
      </c>
    </row>
    <row r="52" spans="2:44">
      <c r="B52" s="7">
        <v>43</v>
      </c>
      <c r="C52" s="7" t="str">
        <f>'Data Siswa'!C46&amp;""</f>
        <v/>
      </c>
      <c r="D52" s="11" t="str">
        <f>'Data Siswa'!F46&amp;""</f>
        <v/>
      </c>
      <c r="E52" s="434"/>
      <c r="F52" s="50"/>
      <c r="G52" s="50"/>
      <c r="H52" s="397" t="str">
        <f t="shared" si="1"/>
        <v/>
      </c>
      <c r="I52" s="50"/>
      <c r="J52" s="50"/>
      <c r="K52" s="397" t="str">
        <f t="shared" si="2"/>
        <v/>
      </c>
      <c r="L52" s="50"/>
      <c r="M52" s="50"/>
      <c r="N52" s="397" t="str">
        <f t="shared" si="3"/>
        <v/>
      </c>
      <c r="O52" s="50"/>
      <c r="P52" s="50"/>
      <c r="Q52" s="397" t="str">
        <f t="shared" si="4"/>
        <v/>
      </c>
      <c r="R52" s="50"/>
      <c r="S52" s="50"/>
      <c r="T52" s="397" t="str">
        <f t="shared" si="5"/>
        <v/>
      </c>
      <c r="U52" s="50"/>
      <c r="V52" s="50"/>
      <c r="W52" s="397" t="str">
        <f t="shared" si="6"/>
        <v/>
      </c>
      <c r="X52" s="50"/>
      <c r="Y52" s="50"/>
      <c r="Z52" s="397" t="str">
        <f t="shared" si="7"/>
        <v/>
      </c>
      <c r="AA52" s="50"/>
      <c r="AB52" s="50"/>
      <c r="AC52" s="397" t="str">
        <f t="shared" si="8"/>
        <v/>
      </c>
      <c r="AD52" s="50"/>
      <c r="AE52" s="50"/>
      <c r="AF52" s="397" t="str">
        <f t="shared" si="9"/>
        <v/>
      </c>
      <c r="AG52" s="49"/>
      <c r="AH52" s="50"/>
      <c r="AI52" s="397" t="str">
        <f t="shared" si="10"/>
        <v/>
      </c>
      <c r="AJ52" s="50"/>
      <c r="AK52" s="50"/>
      <c r="AL52" s="397" t="str">
        <f t="shared" si="11"/>
        <v/>
      </c>
      <c r="AM52" s="396" t="str">
        <f t="shared" si="12"/>
        <v/>
      </c>
      <c r="AN52" s="396" t="str">
        <f t="shared" si="12"/>
        <v/>
      </c>
      <c r="AO52" s="396" t="str">
        <f t="shared" si="13"/>
        <v/>
      </c>
      <c r="AP52" s="396" t="str">
        <f t="shared" si="14"/>
        <v/>
      </c>
      <c r="AR52" s="35" t="str">
        <f t="shared" si="15"/>
        <v>Sembunyikan</v>
      </c>
    </row>
    <row r="53" spans="2:44">
      <c r="B53" s="7">
        <v>44</v>
      </c>
      <c r="C53" s="7" t="str">
        <f>'Data Siswa'!C47&amp;""</f>
        <v/>
      </c>
      <c r="D53" s="11" t="str">
        <f>'Data Siswa'!F47&amp;""</f>
        <v/>
      </c>
      <c r="E53" s="434"/>
      <c r="F53" s="50"/>
      <c r="G53" s="50"/>
      <c r="H53" s="397" t="str">
        <f t="shared" si="1"/>
        <v/>
      </c>
      <c r="I53" s="50"/>
      <c r="J53" s="50"/>
      <c r="K53" s="397" t="str">
        <f t="shared" si="2"/>
        <v/>
      </c>
      <c r="L53" s="50"/>
      <c r="M53" s="50"/>
      <c r="N53" s="397" t="str">
        <f t="shared" si="3"/>
        <v/>
      </c>
      <c r="O53" s="50"/>
      <c r="P53" s="50"/>
      <c r="Q53" s="397" t="str">
        <f t="shared" si="4"/>
        <v/>
      </c>
      <c r="R53" s="50"/>
      <c r="S53" s="50"/>
      <c r="T53" s="397" t="str">
        <f t="shared" si="5"/>
        <v/>
      </c>
      <c r="U53" s="50"/>
      <c r="V53" s="50"/>
      <c r="W53" s="397" t="str">
        <f t="shared" si="6"/>
        <v/>
      </c>
      <c r="X53" s="50"/>
      <c r="Y53" s="50"/>
      <c r="Z53" s="397" t="str">
        <f t="shared" si="7"/>
        <v/>
      </c>
      <c r="AA53" s="50"/>
      <c r="AB53" s="50"/>
      <c r="AC53" s="397" t="str">
        <f t="shared" si="8"/>
        <v/>
      </c>
      <c r="AD53" s="50"/>
      <c r="AE53" s="50"/>
      <c r="AF53" s="397" t="str">
        <f t="shared" si="9"/>
        <v/>
      </c>
      <c r="AG53" s="49"/>
      <c r="AH53" s="50"/>
      <c r="AI53" s="397" t="str">
        <f t="shared" si="10"/>
        <v/>
      </c>
      <c r="AJ53" s="50"/>
      <c r="AK53" s="50"/>
      <c r="AL53" s="397" t="str">
        <f t="shared" si="11"/>
        <v/>
      </c>
      <c r="AM53" s="396" t="str">
        <f t="shared" si="12"/>
        <v/>
      </c>
      <c r="AN53" s="396" t="str">
        <f t="shared" si="12"/>
        <v/>
      </c>
      <c r="AO53" s="396" t="str">
        <f t="shared" si="13"/>
        <v/>
      </c>
      <c r="AP53" s="396" t="str">
        <f t="shared" si="14"/>
        <v/>
      </c>
      <c r="AR53" s="35" t="str">
        <f t="shared" si="15"/>
        <v>Sembunyikan</v>
      </c>
    </row>
    <row r="54" spans="2:44">
      <c r="B54" s="7">
        <v>45</v>
      </c>
      <c r="C54" s="7" t="str">
        <f>'Data Siswa'!C48&amp;""</f>
        <v/>
      </c>
      <c r="D54" s="11" t="str">
        <f>'Data Siswa'!F48&amp;""</f>
        <v/>
      </c>
      <c r="E54" s="434"/>
      <c r="F54" s="50"/>
      <c r="G54" s="50"/>
      <c r="H54" s="397" t="str">
        <f t="shared" si="1"/>
        <v/>
      </c>
      <c r="I54" s="50"/>
      <c r="J54" s="50"/>
      <c r="K54" s="397" t="str">
        <f t="shared" si="2"/>
        <v/>
      </c>
      <c r="L54" s="50"/>
      <c r="M54" s="50"/>
      <c r="N54" s="397" t="str">
        <f t="shared" si="3"/>
        <v/>
      </c>
      <c r="O54" s="50"/>
      <c r="P54" s="50"/>
      <c r="Q54" s="397" t="str">
        <f t="shared" si="4"/>
        <v/>
      </c>
      <c r="R54" s="50"/>
      <c r="S54" s="50"/>
      <c r="T54" s="397" t="str">
        <f t="shared" si="5"/>
        <v/>
      </c>
      <c r="U54" s="50"/>
      <c r="V54" s="50"/>
      <c r="W54" s="397" t="str">
        <f t="shared" si="6"/>
        <v/>
      </c>
      <c r="X54" s="50"/>
      <c r="Y54" s="50"/>
      <c r="Z54" s="397" t="str">
        <f t="shared" si="7"/>
        <v/>
      </c>
      <c r="AA54" s="50"/>
      <c r="AB54" s="50"/>
      <c r="AC54" s="397" t="str">
        <f t="shared" si="8"/>
        <v/>
      </c>
      <c r="AD54" s="50"/>
      <c r="AE54" s="50"/>
      <c r="AF54" s="397" t="str">
        <f t="shared" si="9"/>
        <v/>
      </c>
      <c r="AG54" s="49"/>
      <c r="AH54" s="50"/>
      <c r="AI54" s="397" t="str">
        <f t="shared" si="10"/>
        <v/>
      </c>
      <c r="AJ54" s="50"/>
      <c r="AK54" s="50"/>
      <c r="AL54" s="397" t="str">
        <f t="shared" si="11"/>
        <v/>
      </c>
      <c r="AM54" s="396" t="str">
        <f t="shared" si="12"/>
        <v/>
      </c>
      <c r="AN54" s="396" t="str">
        <f t="shared" si="12"/>
        <v/>
      </c>
      <c r="AO54" s="396" t="str">
        <f t="shared" si="13"/>
        <v/>
      </c>
      <c r="AP54" s="396" t="str">
        <f t="shared" si="14"/>
        <v/>
      </c>
      <c r="AR54" s="35" t="str">
        <f t="shared" si="15"/>
        <v>Sembunyikan</v>
      </c>
    </row>
    <row r="55" spans="2:44">
      <c r="B55" s="7">
        <v>46</v>
      </c>
      <c r="C55" s="7" t="str">
        <f>'Data Siswa'!C49&amp;""</f>
        <v/>
      </c>
      <c r="D55" s="11" t="str">
        <f>'Data Siswa'!F49&amp;""</f>
        <v/>
      </c>
      <c r="E55" s="434"/>
      <c r="F55" s="50"/>
      <c r="G55" s="50"/>
      <c r="H55" s="397" t="str">
        <f t="shared" si="1"/>
        <v/>
      </c>
      <c r="I55" s="50"/>
      <c r="J55" s="50"/>
      <c r="K55" s="397" t="str">
        <f t="shared" si="2"/>
        <v/>
      </c>
      <c r="L55" s="50"/>
      <c r="M55" s="50"/>
      <c r="N55" s="397" t="str">
        <f t="shared" si="3"/>
        <v/>
      </c>
      <c r="O55" s="50"/>
      <c r="P55" s="50"/>
      <c r="Q55" s="397" t="str">
        <f t="shared" si="4"/>
        <v/>
      </c>
      <c r="R55" s="50"/>
      <c r="S55" s="50"/>
      <c r="T55" s="397" t="str">
        <f t="shared" si="5"/>
        <v/>
      </c>
      <c r="U55" s="50"/>
      <c r="V55" s="50"/>
      <c r="W55" s="397" t="str">
        <f t="shared" si="6"/>
        <v/>
      </c>
      <c r="X55" s="50"/>
      <c r="Y55" s="50"/>
      <c r="Z55" s="397" t="str">
        <f t="shared" si="7"/>
        <v/>
      </c>
      <c r="AA55" s="50"/>
      <c r="AB55" s="50"/>
      <c r="AC55" s="397" t="str">
        <f t="shared" si="8"/>
        <v/>
      </c>
      <c r="AD55" s="50"/>
      <c r="AE55" s="50"/>
      <c r="AF55" s="397" t="str">
        <f t="shared" si="9"/>
        <v/>
      </c>
      <c r="AG55" s="49"/>
      <c r="AH55" s="50"/>
      <c r="AI55" s="397" t="str">
        <f t="shared" si="10"/>
        <v/>
      </c>
      <c r="AJ55" s="50"/>
      <c r="AK55" s="50"/>
      <c r="AL55" s="397" t="str">
        <f t="shared" si="11"/>
        <v/>
      </c>
      <c r="AM55" s="396" t="str">
        <f t="shared" si="12"/>
        <v/>
      </c>
      <c r="AN55" s="396" t="str">
        <f t="shared" si="12"/>
        <v/>
      </c>
      <c r="AO55" s="396" t="str">
        <f t="shared" si="13"/>
        <v/>
      </c>
      <c r="AP55" s="396" t="str">
        <f t="shared" si="14"/>
        <v/>
      </c>
      <c r="AR55" s="35" t="str">
        <f t="shared" si="15"/>
        <v>Sembunyikan</v>
      </c>
    </row>
    <row r="56" spans="2:44">
      <c r="B56" s="7">
        <v>47</v>
      </c>
      <c r="C56" s="7" t="str">
        <f>'Data Siswa'!C50&amp;""</f>
        <v/>
      </c>
      <c r="D56" s="11" t="str">
        <f>'Data Siswa'!F50&amp;""</f>
        <v/>
      </c>
      <c r="E56" s="434"/>
      <c r="F56" s="50"/>
      <c r="G56" s="50"/>
      <c r="H56" s="397" t="str">
        <f t="shared" si="1"/>
        <v/>
      </c>
      <c r="I56" s="50"/>
      <c r="J56" s="50"/>
      <c r="K56" s="397" t="str">
        <f t="shared" si="2"/>
        <v/>
      </c>
      <c r="L56" s="50"/>
      <c r="M56" s="50"/>
      <c r="N56" s="397" t="str">
        <f t="shared" si="3"/>
        <v/>
      </c>
      <c r="O56" s="50"/>
      <c r="P56" s="50"/>
      <c r="Q56" s="397" t="str">
        <f t="shared" si="4"/>
        <v/>
      </c>
      <c r="R56" s="50"/>
      <c r="S56" s="50"/>
      <c r="T56" s="397" t="str">
        <f t="shared" si="5"/>
        <v/>
      </c>
      <c r="U56" s="50"/>
      <c r="V56" s="50"/>
      <c r="W56" s="397" t="str">
        <f t="shared" si="6"/>
        <v/>
      </c>
      <c r="X56" s="50"/>
      <c r="Y56" s="50"/>
      <c r="Z56" s="397" t="str">
        <f t="shared" si="7"/>
        <v/>
      </c>
      <c r="AA56" s="50"/>
      <c r="AB56" s="50"/>
      <c r="AC56" s="397" t="str">
        <f t="shared" si="8"/>
        <v/>
      </c>
      <c r="AD56" s="50"/>
      <c r="AE56" s="50"/>
      <c r="AF56" s="397" t="str">
        <f t="shared" si="9"/>
        <v/>
      </c>
      <c r="AG56" s="49"/>
      <c r="AH56" s="50"/>
      <c r="AI56" s="397" t="str">
        <f t="shared" si="10"/>
        <v/>
      </c>
      <c r="AJ56" s="50"/>
      <c r="AK56" s="50"/>
      <c r="AL56" s="397" t="str">
        <f t="shared" si="11"/>
        <v/>
      </c>
      <c r="AM56" s="396" t="str">
        <f t="shared" si="12"/>
        <v/>
      </c>
      <c r="AN56" s="396" t="str">
        <f t="shared" si="12"/>
        <v/>
      </c>
      <c r="AO56" s="396" t="str">
        <f t="shared" si="13"/>
        <v/>
      </c>
      <c r="AP56" s="396" t="str">
        <f t="shared" si="14"/>
        <v/>
      </c>
      <c r="AR56" s="35" t="str">
        <f t="shared" si="15"/>
        <v>Sembunyikan</v>
      </c>
    </row>
    <row r="57" spans="2:44">
      <c r="B57" s="7">
        <v>48</v>
      </c>
      <c r="C57" s="7" t="str">
        <f>'Data Siswa'!C51&amp;""</f>
        <v/>
      </c>
      <c r="D57" s="11" t="str">
        <f>'Data Siswa'!F51&amp;""</f>
        <v/>
      </c>
      <c r="E57" s="434"/>
      <c r="F57" s="50"/>
      <c r="G57" s="50"/>
      <c r="H57" s="397" t="str">
        <f t="shared" si="1"/>
        <v/>
      </c>
      <c r="I57" s="50"/>
      <c r="J57" s="50"/>
      <c r="K57" s="397" t="str">
        <f t="shared" si="2"/>
        <v/>
      </c>
      <c r="L57" s="50"/>
      <c r="M57" s="50"/>
      <c r="N57" s="397" t="str">
        <f t="shared" si="3"/>
        <v/>
      </c>
      <c r="O57" s="50"/>
      <c r="P57" s="50"/>
      <c r="Q57" s="397" t="str">
        <f t="shared" si="4"/>
        <v/>
      </c>
      <c r="R57" s="50"/>
      <c r="S57" s="50"/>
      <c r="T57" s="397" t="str">
        <f t="shared" si="5"/>
        <v/>
      </c>
      <c r="U57" s="50"/>
      <c r="V57" s="50"/>
      <c r="W57" s="397" t="str">
        <f t="shared" si="6"/>
        <v/>
      </c>
      <c r="X57" s="50"/>
      <c r="Y57" s="50"/>
      <c r="Z57" s="397" t="str">
        <f t="shared" si="7"/>
        <v/>
      </c>
      <c r="AA57" s="50"/>
      <c r="AB57" s="50"/>
      <c r="AC57" s="397" t="str">
        <f t="shared" si="8"/>
        <v/>
      </c>
      <c r="AD57" s="50"/>
      <c r="AE57" s="50"/>
      <c r="AF57" s="397" t="str">
        <f t="shared" si="9"/>
        <v/>
      </c>
      <c r="AG57" s="49"/>
      <c r="AH57" s="50"/>
      <c r="AI57" s="397" t="str">
        <f t="shared" si="10"/>
        <v/>
      </c>
      <c r="AJ57" s="50"/>
      <c r="AK57" s="50"/>
      <c r="AL57" s="397" t="str">
        <f t="shared" si="11"/>
        <v/>
      </c>
      <c r="AM57" s="396" t="str">
        <f t="shared" si="12"/>
        <v/>
      </c>
      <c r="AN57" s="396" t="str">
        <f t="shared" si="12"/>
        <v/>
      </c>
      <c r="AO57" s="396" t="str">
        <f t="shared" si="13"/>
        <v/>
      </c>
      <c r="AP57" s="396" t="str">
        <f t="shared" si="14"/>
        <v/>
      </c>
      <c r="AR57" s="35" t="str">
        <f t="shared" si="15"/>
        <v>Sembunyikan</v>
      </c>
    </row>
    <row r="58" spans="2:44">
      <c r="B58" s="7">
        <v>49</v>
      </c>
      <c r="C58" s="7" t="str">
        <f>'Data Siswa'!C52&amp;""</f>
        <v/>
      </c>
      <c r="D58" s="11" t="str">
        <f>'Data Siswa'!F52&amp;""</f>
        <v/>
      </c>
      <c r="E58" s="434"/>
      <c r="F58" s="50"/>
      <c r="G58" s="50"/>
      <c r="H58" s="397" t="str">
        <f t="shared" si="1"/>
        <v/>
      </c>
      <c r="I58" s="50"/>
      <c r="J58" s="50"/>
      <c r="K58" s="397" t="str">
        <f t="shared" si="2"/>
        <v/>
      </c>
      <c r="L58" s="50"/>
      <c r="M58" s="50"/>
      <c r="N58" s="397" t="str">
        <f t="shared" si="3"/>
        <v/>
      </c>
      <c r="O58" s="50"/>
      <c r="P58" s="50"/>
      <c r="Q58" s="397" t="str">
        <f t="shared" si="4"/>
        <v/>
      </c>
      <c r="R58" s="50"/>
      <c r="S58" s="50"/>
      <c r="T58" s="397" t="str">
        <f t="shared" si="5"/>
        <v/>
      </c>
      <c r="U58" s="50"/>
      <c r="V58" s="50"/>
      <c r="W58" s="397" t="str">
        <f t="shared" si="6"/>
        <v/>
      </c>
      <c r="X58" s="50"/>
      <c r="Y58" s="50"/>
      <c r="Z58" s="397" t="str">
        <f t="shared" si="7"/>
        <v/>
      </c>
      <c r="AA58" s="50"/>
      <c r="AB58" s="50"/>
      <c r="AC58" s="397" t="str">
        <f t="shared" si="8"/>
        <v/>
      </c>
      <c r="AD58" s="50"/>
      <c r="AE58" s="50"/>
      <c r="AF58" s="397" t="str">
        <f t="shared" si="9"/>
        <v/>
      </c>
      <c r="AG58" s="49"/>
      <c r="AH58" s="50"/>
      <c r="AI58" s="397" t="str">
        <f t="shared" si="10"/>
        <v/>
      </c>
      <c r="AJ58" s="50"/>
      <c r="AK58" s="50"/>
      <c r="AL58" s="397" t="str">
        <f t="shared" si="11"/>
        <v/>
      </c>
      <c r="AM58" s="396" t="str">
        <f t="shared" si="12"/>
        <v/>
      </c>
      <c r="AN58" s="396" t="str">
        <f t="shared" si="12"/>
        <v/>
      </c>
      <c r="AO58" s="396" t="str">
        <f t="shared" si="13"/>
        <v/>
      </c>
      <c r="AP58" s="396" t="str">
        <f t="shared" si="14"/>
        <v/>
      </c>
      <c r="AR58" s="35" t="str">
        <f t="shared" si="15"/>
        <v>Sembunyikan</v>
      </c>
    </row>
    <row r="59" spans="2:44">
      <c r="B59" s="7">
        <v>50</v>
      </c>
      <c r="C59" s="7" t="str">
        <f>'Data Siswa'!C53&amp;""</f>
        <v/>
      </c>
      <c r="D59" s="11" t="str">
        <f>'Data Siswa'!F53&amp;""</f>
        <v/>
      </c>
      <c r="E59" s="435"/>
      <c r="F59" s="50"/>
      <c r="G59" s="50"/>
      <c r="H59" s="397" t="str">
        <f t="shared" si="1"/>
        <v/>
      </c>
      <c r="I59" s="50"/>
      <c r="J59" s="50"/>
      <c r="K59" s="397" t="str">
        <f t="shared" si="2"/>
        <v/>
      </c>
      <c r="L59" s="50"/>
      <c r="M59" s="50"/>
      <c r="N59" s="397" t="str">
        <f t="shared" si="3"/>
        <v/>
      </c>
      <c r="O59" s="50"/>
      <c r="P59" s="50"/>
      <c r="Q59" s="397" t="str">
        <f t="shared" si="4"/>
        <v/>
      </c>
      <c r="R59" s="50"/>
      <c r="S59" s="50"/>
      <c r="T59" s="397" t="str">
        <f t="shared" si="5"/>
        <v/>
      </c>
      <c r="U59" s="50"/>
      <c r="V59" s="50"/>
      <c r="W59" s="397" t="str">
        <f t="shared" si="6"/>
        <v/>
      </c>
      <c r="X59" s="50"/>
      <c r="Y59" s="50"/>
      <c r="Z59" s="397" t="str">
        <f t="shared" si="7"/>
        <v/>
      </c>
      <c r="AA59" s="50"/>
      <c r="AB59" s="50"/>
      <c r="AC59" s="397" t="str">
        <f t="shared" si="8"/>
        <v/>
      </c>
      <c r="AD59" s="50"/>
      <c r="AE59" s="50"/>
      <c r="AF59" s="397" t="str">
        <f t="shared" si="9"/>
        <v/>
      </c>
      <c r="AG59" s="49"/>
      <c r="AH59" s="50"/>
      <c r="AI59" s="397" t="str">
        <f t="shared" si="10"/>
        <v/>
      </c>
      <c r="AJ59" s="50"/>
      <c r="AK59" s="50"/>
      <c r="AL59" s="397" t="str">
        <f t="shared" si="11"/>
        <v/>
      </c>
      <c r="AM59" s="396" t="str">
        <f t="shared" si="12"/>
        <v/>
      </c>
      <c r="AN59" s="396" t="str">
        <f t="shared" si="12"/>
        <v/>
      </c>
      <c r="AO59" s="396" t="str">
        <f t="shared" si="13"/>
        <v/>
      </c>
      <c r="AP59" s="396" t="str">
        <f t="shared" si="14"/>
        <v/>
      </c>
      <c r="AR59" s="35" t="str">
        <f t="shared" si="15"/>
        <v>Sembunyikan</v>
      </c>
    </row>
    <row r="61" spans="2:44">
      <c r="AD61" s="1" t="str">
        <f>Kabupaten&amp;", "&amp;TEXT(Tanggal,"DD MMMM YYYY")</f>
        <v>Wonogiri, 15 Juni 2022</v>
      </c>
    </row>
    <row r="62" spans="2:44">
      <c r="AD62" s="1" t="str">
        <f>"Kepala"&amp;" "&amp;Nama_Sekolah</f>
        <v>Kepala Sekolah Dasar Negeri 1 Giriharjo</v>
      </c>
    </row>
    <row r="63" spans="2:44">
      <c r="B63" s="213" t="s">
        <v>177</v>
      </c>
    </row>
    <row r="64" spans="2:44">
      <c r="B64" s="21" t="s">
        <v>178</v>
      </c>
    </row>
    <row r="66" spans="2:31">
      <c r="AD66" s="37">
        <f>Kepsek</f>
        <v>0</v>
      </c>
      <c r="AE66" s="37"/>
    </row>
    <row r="67" spans="2:31">
      <c r="AD67" s="36">
        <f>NIP_Kepsek</f>
        <v>0</v>
      </c>
      <c r="AE67" s="36"/>
    </row>
    <row r="71" spans="2:31">
      <c r="B71" s="192" t="s">
        <v>134</v>
      </c>
    </row>
  </sheetData>
  <sheetProtection password="CC5B" sheet="1" objects="1" scenarios="1" formatCells="0" formatColumns="0" autoFilter="0"/>
  <autoFilter ref="AR8:AR59"/>
  <mergeCells count="30">
    <mergeCell ref="E10:E59"/>
    <mergeCell ref="AP7:AP9"/>
    <mergeCell ref="F8:G8"/>
    <mergeCell ref="I8:J8"/>
    <mergeCell ref="L8:M8"/>
    <mergeCell ref="O8:P8"/>
    <mergeCell ref="R8:S8"/>
    <mergeCell ref="U8:V8"/>
    <mergeCell ref="X8:Y8"/>
    <mergeCell ref="AA8:AB8"/>
    <mergeCell ref="AD8:AE8"/>
    <mergeCell ref="Z7:Z9"/>
    <mergeCell ref="AC7:AC9"/>
    <mergeCell ref="AF7:AF9"/>
    <mergeCell ref="AI7:AI9"/>
    <mergeCell ref="AL7:AL9"/>
    <mergeCell ref="AO7:AO9"/>
    <mergeCell ref="AG8:AH8"/>
    <mergeCell ref="AJ8:AK8"/>
    <mergeCell ref="B1:AP1"/>
    <mergeCell ref="B7:B9"/>
    <mergeCell ref="C7:C9"/>
    <mergeCell ref="D7:D9"/>
    <mergeCell ref="H7:H9"/>
    <mergeCell ref="K7:K9"/>
    <mergeCell ref="Q7:Q9"/>
    <mergeCell ref="T7:T9"/>
    <mergeCell ref="W7:W9"/>
    <mergeCell ref="AM7:AN8"/>
    <mergeCell ref="N7:N9"/>
  </mergeCells>
  <conditionalFormatting sqref="F10:F59">
    <cfRule type="cellIs" dxfId="274" priority="126" operator="lessThan">
      <formula>$F$7</formula>
    </cfRule>
  </conditionalFormatting>
  <conditionalFormatting sqref="G10:G59">
    <cfRule type="cellIs" dxfId="273" priority="125" operator="lessThan">
      <formula>$G$7</formula>
    </cfRule>
  </conditionalFormatting>
  <conditionalFormatting sqref="I10:I59">
    <cfRule type="cellIs" dxfId="272" priority="124" operator="lessThan">
      <formula>$I$7</formula>
    </cfRule>
  </conditionalFormatting>
  <conditionalFormatting sqref="J10:J59">
    <cfRule type="cellIs" dxfId="271" priority="123" operator="lessThan">
      <formula>$J$7</formula>
    </cfRule>
  </conditionalFormatting>
  <conditionalFormatting sqref="L10:L59">
    <cfRule type="cellIs" dxfId="270" priority="122" operator="lessThan">
      <formula>$L$7</formula>
    </cfRule>
  </conditionalFormatting>
  <conditionalFormatting sqref="M10:M59">
    <cfRule type="cellIs" dxfId="269" priority="121" operator="lessThan">
      <formula>$M$7</formula>
    </cfRule>
  </conditionalFormatting>
  <conditionalFormatting sqref="O10:O59">
    <cfRule type="cellIs" dxfId="268" priority="120" operator="lessThan">
      <formula>$O$7</formula>
    </cfRule>
  </conditionalFormatting>
  <conditionalFormatting sqref="P10:P59">
    <cfRule type="cellIs" dxfId="267" priority="119" operator="lessThan">
      <formula>$P$7</formula>
    </cfRule>
  </conditionalFormatting>
  <conditionalFormatting sqref="R10:R59">
    <cfRule type="cellIs" dxfId="266" priority="118" operator="lessThan">
      <formula>$R$7</formula>
    </cfRule>
  </conditionalFormatting>
  <conditionalFormatting sqref="S10:S59">
    <cfRule type="cellIs" dxfId="265" priority="117" operator="lessThan">
      <formula>$S$7</formula>
    </cfRule>
  </conditionalFormatting>
  <conditionalFormatting sqref="U10:U59">
    <cfRule type="cellIs" dxfId="264" priority="116" operator="lessThan">
      <formula>$U$7</formula>
    </cfRule>
  </conditionalFormatting>
  <conditionalFormatting sqref="V10:V59">
    <cfRule type="cellIs" dxfId="263" priority="115" operator="lessThan">
      <formula>$V$7</formula>
    </cfRule>
  </conditionalFormatting>
  <conditionalFormatting sqref="X10:X59">
    <cfRule type="cellIs" dxfId="262" priority="114" operator="lessThan">
      <formula>$X$7</formula>
    </cfRule>
  </conditionalFormatting>
  <conditionalFormatting sqref="Y10:Y59">
    <cfRule type="cellIs" dxfId="261" priority="113" operator="lessThan">
      <formula>$Y$7</formula>
    </cfRule>
  </conditionalFormatting>
  <conditionalFormatting sqref="AA10:AA59">
    <cfRule type="cellIs" dxfId="260" priority="112" operator="lessThan">
      <formula>$AA$7</formula>
    </cfRule>
  </conditionalFormatting>
  <conditionalFormatting sqref="AB10:AB59">
    <cfRule type="cellIs" dxfId="259" priority="111" operator="lessThan">
      <formula>$AB$7</formula>
    </cfRule>
  </conditionalFormatting>
  <conditionalFormatting sqref="AD10:AD59">
    <cfRule type="cellIs" dxfId="258" priority="110" operator="lessThan">
      <formula>$AD$7</formula>
    </cfRule>
  </conditionalFormatting>
  <conditionalFormatting sqref="AE10:AE59">
    <cfRule type="cellIs" dxfId="257" priority="109" operator="lessThan">
      <formula>$AE$7</formula>
    </cfRule>
  </conditionalFormatting>
  <conditionalFormatting sqref="AG10:AG59">
    <cfRule type="cellIs" dxfId="256" priority="108" operator="lessThan">
      <formula>$AG$7</formula>
    </cfRule>
  </conditionalFormatting>
  <conditionalFormatting sqref="AH10:AH59">
    <cfRule type="cellIs" dxfId="255" priority="107" operator="lessThan">
      <formula>$AH$7</formula>
    </cfRule>
  </conditionalFormatting>
  <conditionalFormatting sqref="AJ10:AJ59">
    <cfRule type="cellIs" dxfId="254" priority="106" operator="lessThan">
      <formula>$AJ$7</formula>
    </cfRule>
  </conditionalFormatting>
  <conditionalFormatting sqref="AK10:AK59">
    <cfRule type="cellIs" dxfId="253" priority="105" operator="lessThan">
      <formula>$AK$7</formula>
    </cfRule>
  </conditionalFormatting>
  <conditionalFormatting sqref="F10:F59">
    <cfRule type="cellIs" dxfId="252" priority="104" operator="lessThan">
      <formula>$F$7</formula>
    </cfRule>
  </conditionalFormatting>
  <conditionalFormatting sqref="G10:G59">
    <cfRule type="cellIs" dxfId="251" priority="103" operator="lessThan">
      <formula>$G$7</formula>
    </cfRule>
  </conditionalFormatting>
  <conditionalFormatting sqref="I10:I59">
    <cfRule type="cellIs" dxfId="250" priority="102" operator="lessThan">
      <formula>$I$7</formula>
    </cfRule>
  </conditionalFormatting>
  <conditionalFormatting sqref="J10:J59">
    <cfRule type="cellIs" dxfId="249" priority="101" operator="lessThan">
      <formula>$J$7</formula>
    </cfRule>
  </conditionalFormatting>
  <conditionalFormatting sqref="L10:L59">
    <cfRule type="cellIs" dxfId="248" priority="100" operator="lessThan">
      <formula>$L$7</formula>
    </cfRule>
  </conditionalFormatting>
  <conditionalFormatting sqref="M10:M59">
    <cfRule type="cellIs" dxfId="247" priority="99" operator="lessThan">
      <formula>$M$7</formula>
    </cfRule>
  </conditionalFormatting>
  <conditionalFormatting sqref="O10:O59">
    <cfRule type="cellIs" dxfId="246" priority="98" operator="lessThan">
      <formula>$O$7</formula>
    </cfRule>
  </conditionalFormatting>
  <conditionalFormatting sqref="P10:P59">
    <cfRule type="cellIs" dxfId="245" priority="97" operator="lessThan">
      <formula>$P$7</formula>
    </cfRule>
  </conditionalFormatting>
  <conditionalFormatting sqref="R10:R59">
    <cfRule type="cellIs" dxfId="244" priority="96" operator="lessThan">
      <formula>$R$7</formula>
    </cfRule>
  </conditionalFormatting>
  <conditionalFormatting sqref="S10:S59">
    <cfRule type="cellIs" dxfId="243" priority="95" operator="lessThan">
      <formula>$S$7</formula>
    </cfRule>
  </conditionalFormatting>
  <conditionalFormatting sqref="U10:U59">
    <cfRule type="cellIs" dxfId="242" priority="94" operator="lessThan">
      <formula>$U$7</formula>
    </cfRule>
  </conditionalFormatting>
  <conditionalFormatting sqref="V10:V59">
    <cfRule type="cellIs" dxfId="241" priority="93" operator="lessThan">
      <formula>$V$7</formula>
    </cfRule>
  </conditionalFormatting>
  <conditionalFormatting sqref="X10:X59">
    <cfRule type="cellIs" dxfId="240" priority="92" operator="lessThan">
      <formula>$X$7</formula>
    </cfRule>
  </conditionalFormatting>
  <conditionalFormatting sqref="Y10:Y59">
    <cfRule type="cellIs" dxfId="239" priority="91" operator="lessThan">
      <formula>$Y$7</formula>
    </cfRule>
  </conditionalFormatting>
  <conditionalFormatting sqref="AA10:AA59">
    <cfRule type="cellIs" dxfId="238" priority="90" operator="lessThan">
      <formula>$AA$7</formula>
    </cfRule>
  </conditionalFormatting>
  <conditionalFormatting sqref="AB10:AB59">
    <cfRule type="cellIs" dxfId="237" priority="89" operator="lessThan">
      <formula>$AB$7</formula>
    </cfRule>
  </conditionalFormatting>
  <conditionalFormatting sqref="AD10:AD59">
    <cfRule type="cellIs" dxfId="236" priority="88" operator="lessThan">
      <formula>$AD$7</formula>
    </cfRule>
  </conditionalFormatting>
  <conditionalFormatting sqref="AE10:AE59">
    <cfRule type="cellIs" dxfId="235" priority="87" operator="lessThan">
      <formula>$AE$7</formula>
    </cfRule>
  </conditionalFormatting>
  <conditionalFormatting sqref="AG10:AG59">
    <cfRule type="cellIs" dxfId="234" priority="86" operator="lessThan">
      <formula>$AG$7</formula>
    </cfRule>
  </conditionalFormatting>
  <conditionalFormatting sqref="AH10:AH59">
    <cfRule type="cellIs" dxfId="233" priority="85" operator="lessThan">
      <formula>$AH$7</formula>
    </cfRule>
  </conditionalFormatting>
  <conditionalFormatting sqref="AJ10:AJ59">
    <cfRule type="cellIs" dxfId="232" priority="84" operator="lessThan">
      <formula>$AJ$7</formula>
    </cfRule>
  </conditionalFormatting>
  <conditionalFormatting sqref="AK10:AK59">
    <cfRule type="cellIs" dxfId="231" priority="83" operator="lessThan">
      <formula>$AK$7</formula>
    </cfRule>
  </conditionalFormatting>
  <conditionalFormatting sqref="F12:F59">
    <cfRule type="cellIs" dxfId="230" priority="82" operator="lessThan">
      <formula>$F$7</formula>
    </cfRule>
  </conditionalFormatting>
  <conditionalFormatting sqref="G11:G59">
    <cfRule type="cellIs" dxfId="229" priority="81" operator="lessThan">
      <formula>$G$7</formula>
    </cfRule>
  </conditionalFormatting>
  <conditionalFormatting sqref="I11:I59">
    <cfRule type="cellIs" dxfId="228" priority="80" operator="lessThan">
      <formula>$I$7</formula>
    </cfRule>
  </conditionalFormatting>
  <conditionalFormatting sqref="J11:J59">
    <cfRule type="cellIs" dxfId="227" priority="79" operator="lessThan">
      <formula>$J$7</formula>
    </cfRule>
  </conditionalFormatting>
  <conditionalFormatting sqref="L11:L59">
    <cfRule type="cellIs" dxfId="226" priority="78" operator="lessThan">
      <formula>$L$7</formula>
    </cfRule>
  </conditionalFormatting>
  <conditionalFormatting sqref="M11:M59">
    <cfRule type="cellIs" dxfId="225" priority="77" operator="lessThan">
      <formula>$M$7</formula>
    </cfRule>
  </conditionalFormatting>
  <conditionalFormatting sqref="O11:O59">
    <cfRule type="cellIs" dxfId="224" priority="76" operator="lessThan">
      <formula>$O$7</formula>
    </cfRule>
  </conditionalFormatting>
  <conditionalFormatting sqref="P11:P59">
    <cfRule type="cellIs" dxfId="223" priority="75" operator="lessThan">
      <formula>$P$7</formula>
    </cfRule>
  </conditionalFormatting>
  <conditionalFormatting sqref="R11:R59">
    <cfRule type="cellIs" dxfId="222" priority="74" operator="lessThan">
      <formula>$R$7</formula>
    </cfRule>
  </conditionalFormatting>
  <conditionalFormatting sqref="S11:S59">
    <cfRule type="cellIs" dxfId="221" priority="73" operator="lessThan">
      <formula>$S$7</formula>
    </cfRule>
  </conditionalFormatting>
  <conditionalFormatting sqref="U11:U59">
    <cfRule type="cellIs" dxfId="220" priority="72" operator="lessThan">
      <formula>$U$7</formula>
    </cfRule>
  </conditionalFormatting>
  <conditionalFormatting sqref="V11:V59">
    <cfRule type="cellIs" dxfId="219" priority="71" operator="lessThan">
      <formula>$V$7</formula>
    </cfRule>
  </conditionalFormatting>
  <conditionalFormatting sqref="X11:X59">
    <cfRule type="cellIs" dxfId="218" priority="70" operator="lessThan">
      <formula>$X$7</formula>
    </cfRule>
  </conditionalFormatting>
  <conditionalFormatting sqref="Y11:Y59">
    <cfRule type="cellIs" dxfId="217" priority="69" operator="lessThan">
      <formula>$Y$7</formula>
    </cfRule>
  </conditionalFormatting>
  <conditionalFormatting sqref="AA11:AA59">
    <cfRule type="cellIs" dxfId="216" priority="68" operator="lessThan">
      <formula>$AA$7</formula>
    </cfRule>
  </conditionalFormatting>
  <conditionalFormatting sqref="AB11:AB59">
    <cfRule type="cellIs" dxfId="215" priority="67" operator="lessThan">
      <formula>$AB$7</formula>
    </cfRule>
  </conditionalFormatting>
  <conditionalFormatting sqref="AD11:AD59">
    <cfRule type="cellIs" dxfId="214" priority="66" operator="lessThan">
      <formula>$AD$7</formula>
    </cfRule>
  </conditionalFormatting>
  <conditionalFormatting sqref="AE11:AE59">
    <cfRule type="cellIs" dxfId="213" priority="65" operator="lessThan">
      <formula>$AE$7</formula>
    </cfRule>
  </conditionalFormatting>
  <conditionalFormatting sqref="AG10:AG59">
    <cfRule type="cellIs" dxfId="212" priority="64" operator="lessThan">
      <formula>$AG$7</formula>
    </cfRule>
  </conditionalFormatting>
  <conditionalFormatting sqref="AH10:AH59">
    <cfRule type="cellIs" dxfId="211" priority="63" operator="lessThan">
      <formula>$AH$7</formula>
    </cfRule>
  </conditionalFormatting>
  <conditionalFormatting sqref="AJ10:AJ59">
    <cfRule type="cellIs" dxfId="210" priority="62" operator="lessThan">
      <formula>$AJ$7</formula>
    </cfRule>
  </conditionalFormatting>
  <conditionalFormatting sqref="AK10:AK59">
    <cfRule type="cellIs" dxfId="209" priority="61" operator="lessThan">
      <formula>$AK$7</formula>
    </cfRule>
  </conditionalFormatting>
  <conditionalFormatting sqref="F12:F59">
    <cfRule type="cellIs" dxfId="208" priority="60" operator="lessThan">
      <formula>$F$7</formula>
    </cfRule>
  </conditionalFormatting>
  <conditionalFormatting sqref="G11:G59">
    <cfRule type="cellIs" dxfId="207" priority="59" operator="lessThan">
      <formula>$G$7</formula>
    </cfRule>
  </conditionalFormatting>
  <conditionalFormatting sqref="I11:I59">
    <cfRule type="cellIs" dxfId="206" priority="58" operator="lessThan">
      <formula>$I$7</formula>
    </cfRule>
  </conditionalFormatting>
  <conditionalFormatting sqref="J11:J59">
    <cfRule type="cellIs" dxfId="205" priority="57" operator="lessThan">
      <formula>$J$7</formula>
    </cfRule>
  </conditionalFormatting>
  <conditionalFormatting sqref="L11:L59">
    <cfRule type="cellIs" dxfId="204" priority="56" operator="lessThan">
      <formula>$L$7</formula>
    </cfRule>
  </conditionalFormatting>
  <conditionalFormatting sqref="M11:M59">
    <cfRule type="cellIs" dxfId="203" priority="55" operator="lessThan">
      <formula>$M$7</formula>
    </cfRule>
  </conditionalFormatting>
  <conditionalFormatting sqref="O11:O59">
    <cfRule type="cellIs" dxfId="202" priority="54" operator="lessThan">
      <formula>$O$7</formula>
    </cfRule>
  </conditionalFormatting>
  <conditionalFormatting sqref="P11:P59">
    <cfRule type="cellIs" dxfId="201" priority="53" operator="lessThan">
      <formula>$P$7</formula>
    </cfRule>
  </conditionalFormatting>
  <conditionalFormatting sqref="R11:R59">
    <cfRule type="cellIs" dxfId="200" priority="52" operator="lessThan">
      <formula>$R$7</formula>
    </cfRule>
  </conditionalFormatting>
  <conditionalFormatting sqref="S11:S59">
    <cfRule type="cellIs" dxfId="199" priority="51" operator="lessThan">
      <formula>$S$7</formula>
    </cfRule>
  </conditionalFormatting>
  <conditionalFormatting sqref="U11:U59">
    <cfRule type="cellIs" dxfId="198" priority="50" operator="lessThan">
      <formula>$U$7</formula>
    </cfRule>
  </conditionalFormatting>
  <conditionalFormatting sqref="V11:V59">
    <cfRule type="cellIs" dxfId="197" priority="49" operator="lessThan">
      <formula>$V$7</formula>
    </cfRule>
  </conditionalFormatting>
  <conditionalFormatting sqref="X11:X59">
    <cfRule type="cellIs" dxfId="196" priority="48" operator="lessThan">
      <formula>$X$7</formula>
    </cfRule>
  </conditionalFormatting>
  <conditionalFormatting sqref="Y11:Y59">
    <cfRule type="cellIs" dxfId="195" priority="47" operator="lessThan">
      <formula>$Y$7</formula>
    </cfRule>
  </conditionalFormatting>
  <conditionalFormatting sqref="AA11:AA59">
    <cfRule type="cellIs" dxfId="194" priority="46" operator="lessThan">
      <formula>$AA$7</formula>
    </cfRule>
  </conditionalFormatting>
  <conditionalFormatting sqref="AB11:AB59">
    <cfRule type="cellIs" dxfId="193" priority="45" operator="lessThan">
      <formula>$AB$7</formula>
    </cfRule>
  </conditionalFormatting>
  <conditionalFormatting sqref="AD11:AD59">
    <cfRule type="cellIs" dxfId="192" priority="44" operator="lessThan">
      <formula>$AD$7</formula>
    </cfRule>
  </conditionalFormatting>
  <conditionalFormatting sqref="AE11:AE59">
    <cfRule type="cellIs" dxfId="191" priority="43" operator="lessThan">
      <formula>$AE$7</formula>
    </cfRule>
  </conditionalFormatting>
  <conditionalFormatting sqref="AG10:AG59">
    <cfRule type="cellIs" dxfId="190" priority="42" operator="lessThan">
      <formula>$AG$7</formula>
    </cfRule>
  </conditionalFormatting>
  <conditionalFormatting sqref="AH10:AH59">
    <cfRule type="cellIs" dxfId="189" priority="41" operator="lessThan">
      <formula>$AH$7</formula>
    </cfRule>
  </conditionalFormatting>
  <conditionalFormatting sqref="AJ10:AJ59">
    <cfRule type="cellIs" dxfId="188" priority="40" operator="lessThan">
      <formula>$AJ$7</formula>
    </cfRule>
  </conditionalFormatting>
  <conditionalFormatting sqref="AK10:AK59">
    <cfRule type="cellIs" dxfId="187" priority="39" operator="lessThan">
      <formula>$AK$7</formula>
    </cfRule>
  </conditionalFormatting>
  <conditionalFormatting sqref="F11">
    <cfRule type="cellIs" dxfId="186" priority="38" operator="lessThan">
      <formula>$F$7</formula>
    </cfRule>
  </conditionalFormatting>
  <conditionalFormatting sqref="F11">
    <cfRule type="cellIs" dxfId="185" priority="37" operator="lessThan">
      <formula>$F$7</formula>
    </cfRule>
  </conditionalFormatting>
  <conditionalFormatting sqref="F10">
    <cfRule type="cellIs" dxfId="184" priority="36" operator="lessThan">
      <formula>$F$7</formula>
    </cfRule>
  </conditionalFormatting>
  <conditionalFormatting sqref="G10">
    <cfRule type="cellIs" dxfId="183" priority="35" operator="lessThan">
      <formula>$G$7</formula>
    </cfRule>
  </conditionalFormatting>
  <conditionalFormatting sqref="I10">
    <cfRule type="cellIs" dxfId="182" priority="34" operator="lessThan">
      <formula>$I$7</formula>
    </cfRule>
  </conditionalFormatting>
  <conditionalFormatting sqref="J10">
    <cfRule type="cellIs" dxfId="181" priority="33" operator="lessThan">
      <formula>$J$7</formula>
    </cfRule>
  </conditionalFormatting>
  <conditionalFormatting sqref="O10">
    <cfRule type="cellIs" dxfId="180" priority="32" operator="lessThan">
      <formula>$O$7</formula>
    </cfRule>
  </conditionalFormatting>
  <conditionalFormatting sqref="P10">
    <cfRule type="cellIs" dxfId="179" priority="31" operator="lessThan">
      <formula>$P$7</formula>
    </cfRule>
  </conditionalFormatting>
  <conditionalFormatting sqref="R10">
    <cfRule type="cellIs" dxfId="178" priority="30" operator="lessThan">
      <formula>$R$7</formula>
    </cfRule>
  </conditionalFormatting>
  <conditionalFormatting sqref="S10">
    <cfRule type="cellIs" dxfId="177" priority="29" operator="lessThan">
      <formula>$S$7</formula>
    </cfRule>
  </conditionalFormatting>
  <conditionalFormatting sqref="U10">
    <cfRule type="cellIs" dxfId="176" priority="28" operator="lessThan">
      <formula>$U$7</formula>
    </cfRule>
  </conditionalFormatting>
  <conditionalFormatting sqref="V10">
    <cfRule type="cellIs" dxfId="175" priority="27" operator="lessThan">
      <formula>$V$7</formula>
    </cfRule>
  </conditionalFormatting>
  <conditionalFormatting sqref="X10">
    <cfRule type="cellIs" dxfId="174" priority="26" operator="lessThan">
      <formula>$X$7</formula>
    </cfRule>
  </conditionalFormatting>
  <conditionalFormatting sqref="Y10">
    <cfRule type="cellIs" dxfId="173" priority="25" operator="lessThan">
      <formula>$Y$7</formula>
    </cfRule>
  </conditionalFormatting>
  <conditionalFormatting sqref="AA10">
    <cfRule type="cellIs" dxfId="172" priority="24" operator="lessThan">
      <formula>$AA$7</formula>
    </cfRule>
  </conditionalFormatting>
  <conditionalFormatting sqref="AB10">
    <cfRule type="cellIs" dxfId="171" priority="23" operator="lessThan">
      <formula>$AB$7</formula>
    </cfRule>
  </conditionalFormatting>
  <conditionalFormatting sqref="AD10">
    <cfRule type="cellIs" dxfId="170" priority="22" operator="lessThan">
      <formula>$AD$7</formula>
    </cfRule>
  </conditionalFormatting>
  <conditionalFormatting sqref="AE10">
    <cfRule type="cellIs" dxfId="169" priority="21" operator="lessThan">
      <formula>$AE$7</formula>
    </cfRule>
  </conditionalFormatting>
  <conditionalFormatting sqref="F10">
    <cfRule type="cellIs" dxfId="168" priority="20" operator="lessThan">
      <formula>$F$7</formula>
    </cfRule>
  </conditionalFormatting>
  <conditionalFormatting sqref="G10">
    <cfRule type="cellIs" dxfId="167" priority="19" operator="lessThan">
      <formula>$G$7</formula>
    </cfRule>
  </conditionalFormatting>
  <conditionalFormatting sqref="I10">
    <cfRule type="cellIs" dxfId="166" priority="18" operator="lessThan">
      <formula>$I$7</formula>
    </cfRule>
  </conditionalFormatting>
  <conditionalFormatting sqref="J10">
    <cfRule type="cellIs" dxfId="165" priority="17" operator="lessThan">
      <formula>$J$7</formula>
    </cfRule>
  </conditionalFormatting>
  <conditionalFormatting sqref="O10">
    <cfRule type="cellIs" dxfId="164" priority="16" operator="lessThan">
      <formula>$O$7</formula>
    </cfRule>
  </conditionalFormatting>
  <conditionalFormatting sqref="P10">
    <cfRule type="cellIs" dxfId="163" priority="15" operator="lessThan">
      <formula>$P$7</formula>
    </cfRule>
  </conditionalFormatting>
  <conditionalFormatting sqref="R10">
    <cfRule type="cellIs" dxfId="162" priority="14" operator="lessThan">
      <formula>$R$7</formula>
    </cfRule>
  </conditionalFormatting>
  <conditionalFormatting sqref="S10">
    <cfRule type="cellIs" dxfId="161" priority="13" operator="lessThan">
      <formula>$S$7</formula>
    </cfRule>
  </conditionalFormatting>
  <conditionalFormatting sqref="U10">
    <cfRule type="cellIs" dxfId="160" priority="12" operator="lessThan">
      <formula>$U$7</formula>
    </cfRule>
  </conditionalFormatting>
  <conditionalFormatting sqref="V10">
    <cfRule type="cellIs" dxfId="159" priority="11" operator="lessThan">
      <formula>$V$7</formula>
    </cfRule>
  </conditionalFormatting>
  <conditionalFormatting sqref="X10">
    <cfRule type="cellIs" dxfId="158" priority="10" operator="lessThan">
      <formula>$X$7</formula>
    </cfRule>
  </conditionalFormatting>
  <conditionalFormatting sqref="Y10">
    <cfRule type="cellIs" dxfId="157" priority="9" operator="lessThan">
      <formula>$Y$7</formula>
    </cfRule>
  </conditionalFormatting>
  <conditionalFormatting sqref="AA10">
    <cfRule type="cellIs" dxfId="156" priority="8" operator="lessThan">
      <formula>$AA$7</formula>
    </cfRule>
  </conditionalFormatting>
  <conditionalFormatting sqref="AB10">
    <cfRule type="cellIs" dxfId="155" priority="7" operator="lessThan">
      <formula>$AB$7</formula>
    </cfRule>
  </conditionalFormatting>
  <conditionalFormatting sqref="AD10">
    <cfRule type="cellIs" dxfId="154" priority="6" operator="lessThan">
      <formula>$AD$7</formula>
    </cfRule>
  </conditionalFormatting>
  <conditionalFormatting sqref="AE10">
    <cfRule type="cellIs" dxfId="153" priority="5" operator="lessThan">
      <formula>$AE$7</formula>
    </cfRule>
  </conditionalFormatting>
  <conditionalFormatting sqref="L10">
    <cfRule type="cellIs" dxfId="152" priority="4" operator="lessThan">
      <formula>$L$7</formula>
    </cfRule>
  </conditionalFormatting>
  <conditionalFormatting sqref="M10">
    <cfRule type="cellIs" dxfId="151" priority="3" operator="lessThan">
      <formula>$M$7</formula>
    </cfRule>
  </conditionalFormatting>
  <conditionalFormatting sqref="L10">
    <cfRule type="cellIs" dxfId="150" priority="2" operator="lessThan">
      <formula>$L$7</formula>
    </cfRule>
  </conditionalFormatting>
  <conditionalFormatting sqref="M10">
    <cfRule type="cellIs" dxfId="149" priority="1" operator="lessThan">
      <formula>$M$7</formula>
    </cfRule>
  </conditionalFormatting>
  <dataValidations count="2">
    <dataValidation type="decimal" allowBlank="1" showInputMessage="1" showErrorMessage="1" error="LIHAT PENGATURAN NILAI !" sqref="U7:V7 AJ7:AK7 R7:S7 AG7:AH7 AD7:AE7 I7:J7 F7:G7 AA7:AB7 X7:Y7 O7:P7 L7:M7 AA11:AB59 X11:Y59 U11:V59 R11:S59 O11:P59 L11:M59 I11:J59 F11:G59 AG10:AH59 AJ10:AK59 AD11:AE59">
      <formula1>$AW$12</formula1>
      <formula2>$AW$13</formula2>
    </dataValidation>
    <dataValidation type="decimal" allowBlank="1" showInputMessage="1" showErrorMessage="1" error="LIHAT PENGATURAN NILAI !" sqref="AD10:AE10 AA10:AB10 X10:Y10 U10:V10 R10:S10 O10:P10 L10:M10 I10:J10 F10:G10">
      <formula1>$AU$12</formula1>
      <formula2>$AU$13</formula2>
    </dataValidation>
  </dataValidations>
  <pageMargins left="0.31496062992125984" right="1.3779527559055118" top="0.35433070866141736" bottom="0.15748031496062992" header="0.31496062992125984" footer="0.31496062992125984"/>
  <pageSetup paperSize="5" scale="55" orientation="landscape" blackAndWhite="1" horizontalDpi="4294967293" verticalDpi="4294967293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X71"/>
  <sheetViews>
    <sheetView showGridLines="0" zoomScale="90" zoomScaleNormal="90" zoomScaleSheetLayoutView="8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AD10" sqref="AD10:AE30"/>
    </sheetView>
  </sheetViews>
  <sheetFormatPr defaultColWidth="0" defaultRowHeight="14.5"/>
  <cols>
    <col min="1" max="1" width="2.1796875" style="1" customWidth="1"/>
    <col min="2" max="2" width="5.26953125" style="1" customWidth="1"/>
    <col min="3" max="3" width="7.81640625" style="1" customWidth="1"/>
    <col min="4" max="4" width="38.26953125" style="1" customWidth="1"/>
    <col min="5" max="5" width="8.81640625" style="1" customWidth="1"/>
    <col min="6" max="38" width="6.1796875" style="1" customWidth="1"/>
    <col min="39" max="40" width="12" style="1" bestFit="1" customWidth="1"/>
    <col min="41" max="41" width="8" style="1" customWidth="1"/>
    <col min="42" max="42" width="12" style="1" bestFit="1" customWidth="1"/>
    <col min="43" max="43" width="2.81640625" style="1" customWidth="1"/>
    <col min="44" max="44" width="11.1796875" style="1" customWidth="1"/>
    <col min="45" max="45" width="3.26953125" style="1" customWidth="1"/>
    <col min="46" max="46" width="2.1796875" style="1" customWidth="1"/>
    <col min="47" max="47" width="3.54296875" style="1" customWidth="1"/>
    <col min="48" max="48" width="19" style="1" customWidth="1"/>
    <col min="49" max="49" width="9.1796875" style="1" customWidth="1"/>
    <col min="50" max="50" width="2.453125" style="1" customWidth="1"/>
    <col min="51" max="16384" width="9.1796875" style="1" hidden="1"/>
  </cols>
  <sheetData>
    <row r="1" spans="2:49" ht="20">
      <c r="B1" s="447" t="s">
        <v>201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  <c r="AG1" s="447"/>
      <c r="AH1" s="447"/>
      <c r="AI1" s="447"/>
      <c r="AJ1" s="447"/>
      <c r="AK1" s="447"/>
      <c r="AL1" s="447"/>
      <c r="AM1" s="447"/>
      <c r="AN1" s="447"/>
      <c r="AO1" s="447"/>
      <c r="AP1" s="447"/>
    </row>
    <row r="2" spans="2:49" ht="6.65" customHeight="1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2:49" ht="15" customHeight="1">
      <c r="D3" s="27" t="s">
        <v>13</v>
      </c>
      <c r="E3" s="27"/>
      <c r="F3" s="29" t="s">
        <v>67</v>
      </c>
      <c r="G3" s="28" t="str">
        <f>UPPER(Nama_Sekolah)</f>
        <v>SEKOLAH DASAR NEGERI 1 GIRIHARJO</v>
      </c>
      <c r="H3" s="29"/>
      <c r="J3" s="28"/>
      <c r="K3" s="29"/>
      <c r="L3" s="213"/>
      <c r="M3" s="213"/>
      <c r="N3" s="29"/>
      <c r="O3" s="213"/>
      <c r="P3" s="213"/>
      <c r="Q3" s="29"/>
      <c r="R3" s="213"/>
      <c r="S3" s="213"/>
      <c r="T3" s="29"/>
      <c r="W3" s="29"/>
      <c r="Z3" s="29"/>
      <c r="AC3" s="29"/>
      <c r="AF3" s="29"/>
      <c r="AI3" s="29"/>
      <c r="AL3" s="29"/>
      <c r="AM3" s="29"/>
      <c r="AN3" s="29"/>
    </row>
    <row r="4" spans="2:49">
      <c r="D4" s="27" t="s">
        <v>14</v>
      </c>
      <c r="E4" s="27"/>
      <c r="F4" s="29" t="s">
        <v>67</v>
      </c>
      <c r="G4" s="28" t="str">
        <f>NPSN</f>
        <v>20311583</v>
      </c>
      <c r="H4" s="29"/>
      <c r="J4" s="28"/>
      <c r="K4" s="29"/>
      <c r="L4" s="213"/>
      <c r="M4" s="213"/>
      <c r="N4" s="29"/>
      <c r="O4" s="213"/>
      <c r="P4" s="213"/>
      <c r="Q4" s="29"/>
      <c r="R4" s="213"/>
      <c r="S4" s="213"/>
      <c r="T4" s="29"/>
      <c r="W4" s="29"/>
      <c r="Z4" s="29"/>
      <c r="AC4" s="29"/>
      <c r="AF4" s="29"/>
      <c r="AI4" s="29"/>
      <c r="AL4" s="29"/>
      <c r="AM4" s="29"/>
      <c r="AN4" s="29"/>
    </row>
    <row r="5" spans="2:49">
      <c r="D5" s="27" t="s">
        <v>68</v>
      </c>
      <c r="E5" s="27"/>
      <c r="F5" s="29" t="s">
        <v>67</v>
      </c>
      <c r="G5" s="28" t="str">
        <f>Kecamatan&amp;", "&amp;Kabupaten&amp;", "&amp;Provinsi</f>
        <v>Puhpelem, Wonogiri, Jawa Tengah</v>
      </c>
      <c r="H5" s="29"/>
      <c r="J5" s="28"/>
      <c r="K5" s="29"/>
      <c r="L5" s="213"/>
      <c r="M5" s="213"/>
      <c r="N5" s="29"/>
      <c r="O5" s="213"/>
      <c r="P5" s="213"/>
      <c r="Q5" s="29"/>
      <c r="R5" s="213"/>
      <c r="S5" s="213"/>
      <c r="T5" s="29"/>
      <c r="W5" s="29"/>
      <c r="Z5" s="29"/>
      <c r="AC5" s="29"/>
      <c r="AF5" s="29"/>
      <c r="AI5" s="29"/>
      <c r="AL5" s="29"/>
      <c r="AM5" s="29"/>
      <c r="AN5" s="29"/>
    </row>
    <row r="6" spans="2:49" ht="2.15" customHeight="1">
      <c r="D6" s="21"/>
      <c r="E6" s="21"/>
      <c r="F6" s="23"/>
      <c r="G6" s="23"/>
      <c r="H6" s="23"/>
      <c r="I6" s="22"/>
      <c r="J6" s="22"/>
      <c r="K6" s="23"/>
      <c r="N6" s="23"/>
      <c r="Q6" s="23"/>
      <c r="T6" s="23"/>
      <c r="W6" s="23"/>
      <c r="Z6" s="23"/>
      <c r="AC6" s="23"/>
      <c r="AF6" s="23"/>
      <c r="AI6" s="23"/>
      <c r="AL6" s="23"/>
      <c r="AM6" s="23"/>
      <c r="AN6" s="23"/>
    </row>
    <row r="7" spans="2:49" ht="17.25" customHeight="1">
      <c r="B7" s="459" t="s">
        <v>7</v>
      </c>
      <c r="C7" s="461" t="s">
        <v>43</v>
      </c>
      <c r="D7" s="459" t="s">
        <v>8</v>
      </c>
      <c r="E7" s="32" t="s">
        <v>66</v>
      </c>
      <c r="F7" s="51">
        <v>71</v>
      </c>
      <c r="G7" s="51">
        <v>71</v>
      </c>
      <c r="H7" s="444" t="s">
        <v>173</v>
      </c>
      <c r="I7" s="51">
        <v>71</v>
      </c>
      <c r="J7" s="51">
        <v>71</v>
      </c>
      <c r="K7" s="444" t="s">
        <v>173</v>
      </c>
      <c r="L7" s="51">
        <v>71</v>
      </c>
      <c r="M7" s="51">
        <v>71</v>
      </c>
      <c r="N7" s="444" t="s">
        <v>173</v>
      </c>
      <c r="O7" s="51">
        <v>65</v>
      </c>
      <c r="P7" s="51">
        <v>75</v>
      </c>
      <c r="Q7" s="444" t="s">
        <v>173</v>
      </c>
      <c r="R7" s="51">
        <v>70</v>
      </c>
      <c r="S7" s="51">
        <v>75</v>
      </c>
      <c r="T7" s="444" t="s">
        <v>173</v>
      </c>
      <c r="U7" s="51">
        <v>71</v>
      </c>
      <c r="V7" s="51">
        <v>71</v>
      </c>
      <c r="W7" s="444" t="s">
        <v>173</v>
      </c>
      <c r="X7" s="51">
        <v>71</v>
      </c>
      <c r="Y7" s="51">
        <v>71</v>
      </c>
      <c r="Z7" s="444" t="s">
        <v>173</v>
      </c>
      <c r="AA7" s="51">
        <v>71</v>
      </c>
      <c r="AB7" s="51">
        <v>71</v>
      </c>
      <c r="AC7" s="444" t="s">
        <v>173</v>
      </c>
      <c r="AD7" s="51">
        <v>71</v>
      </c>
      <c r="AE7" s="51">
        <v>71</v>
      </c>
      <c r="AF7" s="444" t="s">
        <v>173</v>
      </c>
      <c r="AG7" s="51">
        <v>71</v>
      </c>
      <c r="AH7" s="51">
        <v>71</v>
      </c>
      <c r="AI7" s="444" t="s">
        <v>173</v>
      </c>
      <c r="AJ7" s="51">
        <v>71</v>
      </c>
      <c r="AK7" s="51">
        <v>71</v>
      </c>
      <c r="AL7" s="444" t="s">
        <v>173</v>
      </c>
      <c r="AM7" s="465" t="s">
        <v>10</v>
      </c>
      <c r="AN7" s="466"/>
      <c r="AO7" s="455" t="s">
        <v>9</v>
      </c>
      <c r="AP7" s="457" t="s">
        <v>10</v>
      </c>
    </row>
    <row r="8" spans="2:49">
      <c r="B8" s="460"/>
      <c r="C8" s="462"/>
      <c r="D8" s="460"/>
      <c r="E8" s="32" t="s">
        <v>69</v>
      </c>
      <c r="F8" s="436" t="str">
        <f>PENGATURAN!F5</f>
        <v>Agama</v>
      </c>
      <c r="G8" s="437"/>
      <c r="H8" s="445"/>
      <c r="I8" s="438" t="str">
        <f>PENGATURAN!F6</f>
        <v>PKn</v>
      </c>
      <c r="J8" s="439"/>
      <c r="K8" s="445"/>
      <c r="L8" s="440" t="str">
        <f>PENGATURAN!F7</f>
        <v>B. Ind.</v>
      </c>
      <c r="M8" s="441"/>
      <c r="N8" s="445"/>
      <c r="O8" s="442" t="str">
        <f>PENGATURAN!F8</f>
        <v>MTK</v>
      </c>
      <c r="P8" s="443"/>
      <c r="Q8" s="445"/>
      <c r="R8" s="469" t="str">
        <f>PENGATURAN!F9</f>
        <v>IPA</v>
      </c>
      <c r="S8" s="470"/>
      <c r="T8" s="445"/>
      <c r="U8" s="448" t="str">
        <f>PENGATURAN!F10</f>
        <v xml:space="preserve">IPS </v>
      </c>
      <c r="V8" s="449"/>
      <c r="W8" s="445"/>
      <c r="X8" s="450" t="str">
        <f>PENGATURAN!F11</f>
        <v>SBdP</v>
      </c>
      <c r="Y8" s="449"/>
      <c r="Z8" s="445"/>
      <c r="AA8" s="451" t="str">
        <f>PENGATURAN!F12</f>
        <v>PJOK</v>
      </c>
      <c r="AB8" s="452"/>
      <c r="AC8" s="445"/>
      <c r="AD8" s="453" t="str">
        <f>PENGATURAN!F16</f>
        <v>Bahasa Jawa</v>
      </c>
      <c r="AE8" s="454"/>
      <c r="AF8" s="445"/>
      <c r="AG8" s="471">
        <f>PENGATURAN!F17</f>
        <v>0</v>
      </c>
      <c r="AH8" s="472"/>
      <c r="AI8" s="445"/>
      <c r="AJ8" s="463">
        <f>PENGATURAN!F18</f>
        <v>0</v>
      </c>
      <c r="AK8" s="464"/>
      <c r="AL8" s="445"/>
      <c r="AM8" s="467"/>
      <c r="AN8" s="468"/>
      <c r="AO8" s="456"/>
      <c r="AP8" s="458"/>
      <c r="AR8" s="34" t="s">
        <v>71</v>
      </c>
    </row>
    <row r="9" spans="2:49" ht="16" thickBot="1">
      <c r="B9" s="460"/>
      <c r="C9" s="462"/>
      <c r="D9" s="460"/>
      <c r="E9" s="220" t="s">
        <v>175</v>
      </c>
      <c r="F9" s="224" t="s">
        <v>171</v>
      </c>
      <c r="G9" s="223" t="s">
        <v>172</v>
      </c>
      <c r="H9" s="446"/>
      <c r="I9" s="222" t="s">
        <v>171</v>
      </c>
      <c r="J9" s="223" t="s">
        <v>172</v>
      </c>
      <c r="K9" s="446"/>
      <c r="L9" s="222" t="s">
        <v>171</v>
      </c>
      <c r="M9" s="223" t="s">
        <v>172</v>
      </c>
      <c r="N9" s="446"/>
      <c r="O9" s="222" t="s">
        <v>171</v>
      </c>
      <c r="P9" s="223" t="s">
        <v>172</v>
      </c>
      <c r="Q9" s="446"/>
      <c r="R9" s="222" t="s">
        <v>171</v>
      </c>
      <c r="S9" s="223" t="s">
        <v>172</v>
      </c>
      <c r="T9" s="446"/>
      <c r="U9" s="222" t="s">
        <v>171</v>
      </c>
      <c r="V9" s="223" t="s">
        <v>172</v>
      </c>
      <c r="W9" s="446"/>
      <c r="X9" s="222" t="s">
        <v>171</v>
      </c>
      <c r="Y9" s="223" t="s">
        <v>172</v>
      </c>
      <c r="Z9" s="446"/>
      <c r="AA9" s="222" t="s">
        <v>171</v>
      </c>
      <c r="AB9" s="223" t="s">
        <v>172</v>
      </c>
      <c r="AC9" s="446"/>
      <c r="AD9" s="222" t="s">
        <v>171</v>
      </c>
      <c r="AE9" s="223" t="s">
        <v>172</v>
      </c>
      <c r="AF9" s="446"/>
      <c r="AG9" s="222" t="s">
        <v>171</v>
      </c>
      <c r="AH9" s="223" t="s">
        <v>172</v>
      </c>
      <c r="AI9" s="446"/>
      <c r="AJ9" s="222" t="s">
        <v>171</v>
      </c>
      <c r="AK9" s="223" t="s">
        <v>172</v>
      </c>
      <c r="AL9" s="446"/>
      <c r="AM9" s="222" t="s">
        <v>171</v>
      </c>
      <c r="AN9" s="223" t="s">
        <v>172</v>
      </c>
      <c r="AO9" s="473"/>
      <c r="AP9" s="474"/>
      <c r="AR9" s="35" t="s">
        <v>176</v>
      </c>
    </row>
    <row r="10" spans="2:49" ht="15" thickTop="1">
      <c r="B10" s="226">
        <v>1</v>
      </c>
      <c r="C10" s="226" t="str">
        <f>'Data Siswa'!C4&amp;""</f>
        <v>2887</v>
      </c>
      <c r="D10" s="227" t="str">
        <f>'Data Siswa'!F4&amp;""</f>
        <v/>
      </c>
      <c r="E10" s="433"/>
      <c r="F10" s="194">
        <v>94</v>
      </c>
      <c r="G10" s="194">
        <v>88</v>
      </c>
      <c r="H10" s="398">
        <f>IFERROR(AVERAGE(F10:G10),"")</f>
        <v>91</v>
      </c>
      <c r="I10" s="194">
        <v>87</v>
      </c>
      <c r="J10" s="194">
        <v>88</v>
      </c>
      <c r="K10" s="398">
        <f>IFERROR(AVERAGE(I10:J10),"")</f>
        <v>87.5</v>
      </c>
      <c r="L10" s="294">
        <v>87</v>
      </c>
      <c r="M10" s="294">
        <v>87</v>
      </c>
      <c r="N10" s="398">
        <f>IFERROR(AVERAGE(L10:M10),"")</f>
        <v>87</v>
      </c>
      <c r="O10" s="194">
        <v>83</v>
      </c>
      <c r="P10" s="194">
        <v>86</v>
      </c>
      <c r="Q10" s="398">
        <f>IFERROR(AVERAGE(O10:P10),"")</f>
        <v>84.5</v>
      </c>
      <c r="R10" s="194">
        <v>84</v>
      </c>
      <c r="S10" s="194">
        <v>84</v>
      </c>
      <c r="T10" s="398">
        <f>IFERROR(AVERAGE(R10:S10),"")</f>
        <v>84</v>
      </c>
      <c r="U10" s="194">
        <v>82</v>
      </c>
      <c r="V10" s="194">
        <v>87</v>
      </c>
      <c r="W10" s="398">
        <f>IFERROR(AVERAGE(U10:V10),"")</f>
        <v>84.5</v>
      </c>
      <c r="X10" s="194">
        <v>84</v>
      </c>
      <c r="Y10" s="194">
        <v>85</v>
      </c>
      <c r="Z10" s="398">
        <f>IFERROR(AVERAGE(X10:Y10),"")</f>
        <v>84.5</v>
      </c>
      <c r="AA10" s="194">
        <v>89</v>
      </c>
      <c r="AB10" s="194">
        <v>90</v>
      </c>
      <c r="AC10" s="398">
        <f>IFERROR(AVERAGE(AA10:AB10),"")</f>
        <v>89.5</v>
      </c>
      <c r="AD10" s="194">
        <v>85</v>
      </c>
      <c r="AE10" s="194">
        <v>84</v>
      </c>
      <c r="AF10" s="398">
        <f>IFERROR(AVERAGE(AD10:AE10),"")</f>
        <v>84.5</v>
      </c>
      <c r="AG10" s="49"/>
      <c r="AH10" s="49"/>
      <c r="AI10" s="398" t="str">
        <f>IFERROR(AVERAGE(AG10:AH10),"")</f>
        <v/>
      </c>
      <c r="AJ10" s="49"/>
      <c r="AK10" s="49"/>
      <c r="AL10" s="398" t="str">
        <f>IFERROR(AVERAGE(AJ10:AK10),"")</f>
        <v/>
      </c>
      <c r="AM10" s="396">
        <f t="shared" ref="AM10:AM11" si="0">IFERROR(AVERAGE(F10,I10,L10,O10,R10,U10,X10,AA10,AD10,AG10,AJ10),"")</f>
        <v>86.111111111111114</v>
      </c>
      <c r="AN10" s="396">
        <f t="shared" ref="AN10:AN11" si="1">IFERROR(AVERAGE(G10,J10,M10,P10,S10,V10,Y10,AB10,AE10,AH10,AK10),"")</f>
        <v>86.555555555555557</v>
      </c>
      <c r="AO10" s="396">
        <f t="shared" ref="AO10:AO59" si="2">IF(SUM(H10,K10,N10,Q10,T10,W10,Z10,AC10,AF10,AI10,AL10)=0,"",SUM(H10,K10,N10,Q10,T10,W10,Z10,AC10,AF10,AI10,AL10))</f>
        <v>777</v>
      </c>
      <c r="AP10" s="396">
        <f>IFERROR(AVERAGE(H10,K10,N10,Q10,T10,W10,Z10,AC10,AF10,AI10,AL10),"")</f>
        <v>86.333333333333329</v>
      </c>
      <c r="AQ10" s="19"/>
      <c r="AR10" s="35" t="str">
        <f t="shared" ref="AR10:AR41" si="3">IF(D10="","Sembunyikan","Data")</f>
        <v>Sembunyikan</v>
      </c>
    </row>
    <row r="11" spans="2:49">
      <c r="B11" s="7">
        <v>2</v>
      </c>
      <c r="C11" s="7" t="str">
        <f>'Data Siswa'!C5&amp;""</f>
        <v>2888</v>
      </c>
      <c r="D11" s="11" t="str">
        <f>'Data Siswa'!F5&amp;""</f>
        <v/>
      </c>
      <c r="E11" s="434"/>
      <c r="F11" s="50">
        <v>79</v>
      </c>
      <c r="G11" s="50">
        <v>77</v>
      </c>
      <c r="H11" s="397">
        <f t="shared" ref="H11:H59" si="4">IFERROR(AVERAGE(F11:G11),"")</f>
        <v>78</v>
      </c>
      <c r="I11" s="50">
        <v>81</v>
      </c>
      <c r="J11" s="50">
        <v>80</v>
      </c>
      <c r="K11" s="397">
        <f t="shared" ref="K11:K59" si="5">IFERROR(AVERAGE(I11:J11),"")</f>
        <v>80.5</v>
      </c>
      <c r="L11" s="50">
        <v>80</v>
      </c>
      <c r="M11" s="50">
        <v>79</v>
      </c>
      <c r="N11" s="397">
        <f t="shared" ref="N11:N59" si="6">IFERROR(AVERAGE(L11:M11),"")</f>
        <v>79.5</v>
      </c>
      <c r="O11" s="50">
        <v>75</v>
      </c>
      <c r="P11" s="50">
        <v>75</v>
      </c>
      <c r="Q11" s="397">
        <f t="shared" ref="Q11:Q59" si="7">IFERROR(AVERAGE(O11:P11),"")</f>
        <v>75</v>
      </c>
      <c r="R11" s="50">
        <v>80</v>
      </c>
      <c r="S11" s="50">
        <v>77</v>
      </c>
      <c r="T11" s="397">
        <f t="shared" ref="T11:T59" si="8">IFERROR(AVERAGE(R11:S11),"")</f>
        <v>78.5</v>
      </c>
      <c r="U11" s="50">
        <v>80</v>
      </c>
      <c r="V11" s="50">
        <v>78</v>
      </c>
      <c r="W11" s="397">
        <f t="shared" ref="W11:W59" si="9">IFERROR(AVERAGE(U11:V11),"")</f>
        <v>79</v>
      </c>
      <c r="X11" s="50">
        <v>80</v>
      </c>
      <c r="Y11" s="50">
        <v>80</v>
      </c>
      <c r="Z11" s="397">
        <f t="shared" ref="Z11:Z59" si="10">IFERROR(AVERAGE(X11:Y11),"")</f>
        <v>80</v>
      </c>
      <c r="AA11" s="50">
        <v>81</v>
      </c>
      <c r="AB11" s="50">
        <v>86</v>
      </c>
      <c r="AC11" s="397">
        <f t="shared" ref="AC11:AC59" si="11">IFERROR(AVERAGE(AA11:AB11),"")</f>
        <v>83.5</v>
      </c>
      <c r="AD11" s="50">
        <v>81</v>
      </c>
      <c r="AE11" s="50">
        <v>78</v>
      </c>
      <c r="AF11" s="397">
        <f t="shared" ref="AF11:AF59" si="12">IFERROR(AVERAGE(AD11:AE11),"")</f>
        <v>79.5</v>
      </c>
      <c r="AG11" s="49"/>
      <c r="AH11" s="50"/>
      <c r="AI11" s="397" t="str">
        <f t="shared" ref="AI11:AI59" si="13">IFERROR(AVERAGE(AG11:AH11),"")</f>
        <v/>
      </c>
      <c r="AJ11" s="50"/>
      <c r="AK11" s="50"/>
      <c r="AL11" s="397" t="str">
        <f t="shared" ref="AL11:AL59" si="14">IFERROR(AVERAGE(AJ11:AK11),"")</f>
        <v/>
      </c>
      <c r="AM11" s="396">
        <f t="shared" si="0"/>
        <v>79.666666666666671</v>
      </c>
      <c r="AN11" s="396">
        <f t="shared" si="1"/>
        <v>78.888888888888886</v>
      </c>
      <c r="AO11" s="396">
        <f t="shared" si="2"/>
        <v>713.5</v>
      </c>
      <c r="AP11" s="396">
        <f t="shared" ref="AP11:AP59" si="15">IFERROR(AVERAGE(H11,K11,N11,Q11,T11,W11,Z11,AC11,AF11,AI11,AL11),"")</f>
        <v>79.277777777777771</v>
      </c>
      <c r="AR11" s="35" t="str">
        <f t="shared" si="3"/>
        <v>Sembunyikan</v>
      </c>
      <c r="AV11" s="4" t="s">
        <v>46</v>
      </c>
      <c r="AW11" s="5"/>
    </row>
    <row r="12" spans="2:49">
      <c r="B12" s="7">
        <v>3</v>
      </c>
      <c r="C12" s="7" t="str">
        <f>'Data Siswa'!C6&amp;""</f>
        <v>2886</v>
      </c>
      <c r="D12" s="11" t="str">
        <f>'Data Siswa'!F6&amp;""</f>
        <v/>
      </c>
      <c r="E12" s="434"/>
      <c r="F12" s="50">
        <v>87</v>
      </c>
      <c r="G12" s="50">
        <v>79</v>
      </c>
      <c r="H12" s="397">
        <f t="shared" si="4"/>
        <v>83</v>
      </c>
      <c r="I12" s="50">
        <v>84</v>
      </c>
      <c r="J12" s="50">
        <v>84</v>
      </c>
      <c r="K12" s="397">
        <f t="shared" si="5"/>
        <v>84</v>
      </c>
      <c r="L12" s="50">
        <v>83</v>
      </c>
      <c r="M12" s="50">
        <v>86</v>
      </c>
      <c r="N12" s="397">
        <f t="shared" si="6"/>
        <v>84.5</v>
      </c>
      <c r="O12" s="50">
        <v>82</v>
      </c>
      <c r="P12" s="50">
        <v>85</v>
      </c>
      <c r="Q12" s="397">
        <f t="shared" si="7"/>
        <v>83.5</v>
      </c>
      <c r="R12" s="50">
        <v>84</v>
      </c>
      <c r="S12" s="50">
        <v>82</v>
      </c>
      <c r="T12" s="397">
        <f t="shared" si="8"/>
        <v>83</v>
      </c>
      <c r="U12" s="50">
        <v>84</v>
      </c>
      <c r="V12" s="50">
        <v>85</v>
      </c>
      <c r="W12" s="397">
        <f t="shared" si="9"/>
        <v>84.5</v>
      </c>
      <c r="X12" s="50">
        <v>83</v>
      </c>
      <c r="Y12" s="50">
        <v>84</v>
      </c>
      <c r="Z12" s="397">
        <f t="shared" si="10"/>
        <v>83.5</v>
      </c>
      <c r="AA12" s="50">
        <v>84</v>
      </c>
      <c r="AB12" s="50">
        <v>88</v>
      </c>
      <c r="AC12" s="397">
        <f t="shared" si="11"/>
        <v>86</v>
      </c>
      <c r="AD12" s="50">
        <v>84</v>
      </c>
      <c r="AE12" s="50">
        <v>85</v>
      </c>
      <c r="AF12" s="397">
        <f t="shared" si="12"/>
        <v>84.5</v>
      </c>
      <c r="AG12" s="49"/>
      <c r="AH12" s="50"/>
      <c r="AI12" s="397" t="str">
        <f t="shared" si="13"/>
        <v/>
      </c>
      <c r="AJ12" s="50"/>
      <c r="AK12" s="50"/>
      <c r="AL12" s="397" t="str">
        <f t="shared" si="14"/>
        <v/>
      </c>
      <c r="AM12" s="396">
        <f t="shared" ref="AM12:AN59" si="16">IFERROR(AVERAGE(F12,I12,L12,O12,R12,U12,X12,AA12,AD12,AG12,AJ12),"")</f>
        <v>83.888888888888886</v>
      </c>
      <c r="AN12" s="396">
        <f t="shared" si="16"/>
        <v>84.222222222222229</v>
      </c>
      <c r="AO12" s="396">
        <f t="shared" si="2"/>
        <v>756.5</v>
      </c>
      <c r="AP12" s="396">
        <f t="shared" si="15"/>
        <v>84.055555555555557</v>
      </c>
      <c r="AR12" s="35" t="str">
        <f t="shared" si="3"/>
        <v>Sembunyikan</v>
      </c>
      <c r="AV12" s="6" t="s">
        <v>44</v>
      </c>
      <c r="AW12" s="2">
        <f>PENGATURAN!K5</f>
        <v>10</v>
      </c>
    </row>
    <row r="13" spans="2:49">
      <c r="B13" s="7">
        <v>4</v>
      </c>
      <c r="C13" s="7" t="str">
        <f>'Data Siswa'!C7&amp;""</f>
        <v>2864</v>
      </c>
      <c r="D13" s="11" t="str">
        <f>'Data Siswa'!F7&amp;""</f>
        <v/>
      </c>
      <c r="E13" s="434"/>
      <c r="F13" s="50">
        <v>78</v>
      </c>
      <c r="G13" s="50">
        <v>77</v>
      </c>
      <c r="H13" s="397">
        <f t="shared" si="4"/>
        <v>77.5</v>
      </c>
      <c r="I13" s="50">
        <v>84</v>
      </c>
      <c r="J13" s="50">
        <v>81</v>
      </c>
      <c r="K13" s="397">
        <f t="shared" si="5"/>
        <v>82.5</v>
      </c>
      <c r="L13" s="50">
        <v>84</v>
      </c>
      <c r="M13" s="50">
        <v>81</v>
      </c>
      <c r="N13" s="397">
        <f t="shared" si="6"/>
        <v>82.5</v>
      </c>
      <c r="O13" s="50">
        <v>76</v>
      </c>
      <c r="P13" s="50">
        <v>77</v>
      </c>
      <c r="Q13" s="397">
        <f t="shared" si="7"/>
        <v>76.5</v>
      </c>
      <c r="R13" s="50">
        <v>78</v>
      </c>
      <c r="S13" s="50">
        <v>79</v>
      </c>
      <c r="T13" s="397">
        <f t="shared" si="8"/>
        <v>78.5</v>
      </c>
      <c r="U13" s="50">
        <v>80</v>
      </c>
      <c r="V13" s="50">
        <v>79</v>
      </c>
      <c r="W13" s="397">
        <f t="shared" si="9"/>
        <v>79.5</v>
      </c>
      <c r="X13" s="50">
        <v>81</v>
      </c>
      <c r="Y13" s="50">
        <v>80</v>
      </c>
      <c r="Z13" s="397">
        <f t="shared" si="10"/>
        <v>80.5</v>
      </c>
      <c r="AA13" s="50">
        <v>81</v>
      </c>
      <c r="AB13" s="50">
        <v>86</v>
      </c>
      <c r="AC13" s="397">
        <f t="shared" si="11"/>
        <v>83.5</v>
      </c>
      <c r="AD13" s="50">
        <v>80</v>
      </c>
      <c r="AE13" s="50">
        <v>79</v>
      </c>
      <c r="AF13" s="397">
        <f t="shared" si="12"/>
        <v>79.5</v>
      </c>
      <c r="AG13" s="49"/>
      <c r="AH13" s="50"/>
      <c r="AI13" s="397" t="str">
        <f t="shared" si="13"/>
        <v/>
      </c>
      <c r="AJ13" s="50"/>
      <c r="AK13" s="50"/>
      <c r="AL13" s="397" t="str">
        <f t="shared" si="14"/>
        <v/>
      </c>
      <c r="AM13" s="396">
        <f t="shared" si="16"/>
        <v>80.222222222222229</v>
      </c>
      <c r="AN13" s="396">
        <f t="shared" si="16"/>
        <v>79.888888888888886</v>
      </c>
      <c r="AO13" s="396">
        <f t="shared" si="2"/>
        <v>720.5</v>
      </c>
      <c r="AP13" s="396">
        <f t="shared" si="15"/>
        <v>80.055555555555557</v>
      </c>
      <c r="AR13" s="35" t="str">
        <f t="shared" si="3"/>
        <v>Sembunyikan</v>
      </c>
      <c r="AV13" s="6" t="s">
        <v>45</v>
      </c>
      <c r="AW13" s="2">
        <f>PENGATURAN!K6</f>
        <v>100</v>
      </c>
    </row>
    <row r="14" spans="2:49">
      <c r="B14" s="7">
        <v>5</v>
      </c>
      <c r="C14" s="7" t="str">
        <f>'Data Siswa'!C8&amp;""</f>
        <v>2890</v>
      </c>
      <c r="D14" s="11" t="str">
        <f>'Data Siswa'!F8&amp;""</f>
        <v/>
      </c>
      <c r="E14" s="434"/>
      <c r="F14" s="50">
        <v>82</v>
      </c>
      <c r="G14" s="50">
        <v>79</v>
      </c>
      <c r="H14" s="397">
        <f t="shared" si="4"/>
        <v>80.5</v>
      </c>
      <c r="I14" s="50">
        <v>82</v>
      </c>
      <c r="J14" s="50">
        <v>81</v>
      </c>
      <c r="K14" s="397">
        <f t="shared" si="5"/>
        <v>81.5</v>
      </c>
      <c r="L14" s="50">
        <v>82</v>
      </c>
      <c r="M14" s="50">
        <v>83</v>
      </c>
      <c r="N14" s="397">
        <f t="shared" si="6"/>
        <v>82.5</v>
      </c>
      <c r="O14" s="50">
        <v>78</v>
      </c>
      <c r="P14" s="50">
        <v>80</v>
      </c>
      <c r="Q14" s="397">
        <f t="shared" si="7"/>
        <v>79</v>
      </c>
      <c r="R14" s="50">
        <v>81</v>
      </c>
      <c r="S14" s="50">
        <v>80</v>
      </c>
      <c r="T14" s="397">
        <f t="shared" si="8"/>
        <v>80.5</v>
      </c>
      <c r="U14" s="50">
        <v>81</v>
      </c>
      <c r="V14" s="50">
        <v>81</v>
      </c>
      <c r="W14" s="397">
        <f t="shared" si="9"/>
        <v>81</v>
      </c>
      <c r="X14" s="50">
        <v>81</v>
      </c>
      <c r="Y14" s="50">
        <v>82</v>
      </c>
      <c r="Z14" s="397">
        <f t="shared" si="10"/>
        <v>81.5</v>
      </c>
      <c r="AA14" s="50">
        <v>83</v>
      </c>
      <c r="AB14" s="50">
        <v>89</v>
      </c>
      <c r="AC14" s="397">
        <f t="shared" si="11"/>
        <v>86</v>
      </c>
      <c r="AD14" s="50">
        <v>82</v>
      </c>
      <c r="AE14" s="50">
        <v>82</v>
      </c>
      <c r="AF14" s="397">
        <f t="shared" si="12"/>
        <v>82</v>
      </c>
      <c r="AG14" s="49"/>
      <c r="AH14" s="50"/>
      <c r="AI14" s="397" t="str">
        <f t="shared" si="13"/>
        <v/>
      </c>
      <c r="AJ14" s="50"/>
      <c r="AK14" s="50"/>
      <c r="AL14" s="397" t="str">
        <f t="shared" si="14"/>
        <v/>
      </c>
      <c r="AM14" s="396">
        <f t="shared" si="16"/>
        <v>81.333333333333329</v>
      </c>
      <c r="AN14" s="396">
        <f t="shared" si="16"/>
        <v>81.888888888888886</v>
      </c>
      <c r="AO14" s="396">
        <f t="shared" si="2"/>
        <v>734.5</v>
      </c>
      <c r="AP14" s="396">
        <f t="shared" si="15"/>
        <v>81.611111111111114</v>
      </c>
      <c r="AR14" s="35" t="str">
        <f t="shared" si="3"/>
        <v>Sembunyikan</v>
      </c>
    </row>
    <row r="15" spans="2:49">
      <c r="B15" s="7">
        <v>6</v>
      </c>
      <c r="C15" s="7" t="str">
        <f>'Data Siswa'!C9&amp;""</f>
        <v>2889</v>
      </c>
      <c r="D15" s="11" t="str">
        <f>'Data Siswa'!F9&amp;""</f>
        <v/>
      </c>
      <c r="E15" s="434"/>
      <c r="F15" s="50">
        <v>83</v>
      </c>
      <c r="G15" s="50">
        <v>81</v>
      </c>
      <c r="H15" s="397">
        <f t="shared" si="4"/>
        <v>82</v>
      </c>
      <c r="I15" s="50">
        <v>83</v>
      </c>
      <c r="J15" s="50">
        <v>81</v>
      </c>
      <c r="K15" s="397">
        <f t="shared" si="5"/>
        <v>82</v>
      </c>
      <c r="L15" s="50">
        <v>83</v>
      </c>
      <c r="M15" s="50">
        <v>81</v>
      </c>
      <c r="N15" s="397">
        <f t="shared" si="6"/>
        <v>82</v>
      </c>
      <c r="O15" s="50">
        <v>76</v>
      </c>
      <c r="P15" s="50">
        <v>79</v>
      </c>
      <c r="Q15" s="397">
        <f t="shared" si="7"/>
        <v>77.5</v>
      </c>
      <c r="R15" s="50">
        <v>82</v>
      </c>
      <c r="S15" s="50">
        <v>80</v>
      </c>
      <c r="T15" s="397">
        <f t="shared" si="8"/>
        <v>81</v>
      </c>
      <c r="U15" s="50">
        <v>80</v>
      </c>
      <c r="V15" s="50">
        <v>82</v>
      </c>
      <c r="W15" s="397">
        <f t="shared" si="9"/>
        <v>81</v>
      </c>
      <c r="X15" s="50">
        <v>83</v>
      </c>
      <c r="Y15" s="50">
        <v>82</v>
      </c>
      <c r="Z15" s="397">
        <f t="shared" si="10"/>
        <v>82.5</v>
      </c>
      <c r="AA15" s="50">
        <v>81</v>
      </c>
      <c r="AB15" s="50">
        <v>86</v>
      </c>
      <c r="AC15" s="397">
        <f t="shared" si="11"/>
        <v>83.5</v>
      </c>
      <c r="AD15" s="50">
        <v>82</v>
      </c>
      <c r="AE15" s="50">
        <v>81</v>
      </c>
      <c r="AF15" s="397">
        <f t="shared" si="12"/>
        <v>81.5</v>
      </c>
      <c r="AG15" s="49"/>
      <c r="AH15" s="50"/>
      <c r="AI15" s="397" t="str">
        <f t="shared" si="13"/>
        <v/>
      </c>
      <c r="AJ15" s="50"/>
      <c r="AK15" s="50"/>
      <c r="AL15" s="397" t="str">
        <f t="shared" si="14"/>
        <v/>
      </c>
      <c r="AM15" s="396">
        <f t="shared" si="16"/>
        <v>81.444444444444443</v>
      </c>
      <c r="AN15" s="396">
        <f t="shared" si="16"/>
        <v>81.444444444444443</v>
      </c>
      <c r="AO15" s="396">
        <f t="shared" si="2"/>
        <v>733</v>
      </c>
      <c r="AP15" s="396">
        <f t="shared" si="15"/>
        <v>81.444444444444443</v>
      </c>
      <c r="AR15" s="35" t="str">
        <f t="shared" si="3"/>
        <v>Sembunyikan</v>
      </c>
    </row>
    <row r="16" spans="2:49">
      <c r="B16" s="7">
        <v>7</v>
      </c>
      <c r="C16" s="7" t="str">
        <f>'Data Siswa'!C10&amp;""</f>
        <v>2891</v>
      </c>
      <c r="D16" s="11" t="str">
        <f>'Data Siswa'!F10&amp;""</f>
        <v/>
      </c>
      <c r="E16" s="434"/>
      <c r="F16" s="50">
        <v>89</v>
      </c>
      <c r="G16" s="50">
        <v>87</v>
      </c>
      <c r="H16" s="397">
        <f t="shared" si="4"/>
        <v>88</v>
      </c>
      <c r="I16" s="50">
        <v>85</v>
      </c>
      <c r="J16" s="50">
        <v>85</v>
      </c>
      <c r="K16" s="397">
        <f t="shared" si="5"/>
        <v>85</v>
      </c>
      <c r="L16" s="50">
        <v>85</v>
      </c>
      <c r="M16" s="50">
        <v>84</v>
      </c>
      <c r="N16" s="397">
        <f t="shared" si="6"/>
        <v>84.5</v>
      </c>
      <c r="O16" s="50">
        <v>82</v>
      </c>
      <c r="P16" s="50">
        <v>85</v>
      </c>
      <c r="Q16" s="397">
        <f t="shared" si="7"/>
        <v>83.5</v>
      </c>
      <c r="R16" s="50">
        <v>85</v>
      </c>
      <c r="S16" s="50">
        <v>82</v>
      </c>
      <c r="T16" s="397">
        <f t="shared" si="8"/>
        <v>83.5</v>
      </c>
      <c r="U16" s="50">
        <v>84</v>
      </c>
      <c r="V16" s="50">
        <v>83</v>
      </c>
      <c r="W16" s="397">
        <f t="shared" si="9"/>
        <v>83.5</v>
      </c>
      <c r="X16" s="50">
        <v>82</v>
      </c>
      <c r="Y16" s="50">
        <v>83</v>
      </c>
      <c r="Z16" s="397">
        <f t="shared" si="10"/>
        <v>82.5</v>
      </c>
      <c r="AA16" s="50">
        <v>86</v>
      </c>
      <c r="AB16" s="50">
        <v>90</v>
      </c>
      <c r="AC16" s="397">
        <f t="shared" si="11"/>
        <v>88</v>
      </c>
      <c r="AD16" s="50">
        <v>84</v>
      </c>
      <c r="AE16" s="50">
        <v>85</v>
      </c>
      <c r="AF16" s="397">
        <f t="shared" si="12"/>
        <v>84.5</v>
      </c>
      <c r="AG16" s="49"/>
      <c r="AH16" s="50"/>
      <c r="AI16" s="397" t="str">
        <f t="shared" si="13"/>
        <v/>
      </c>
      <c r="AJ16" s="50"/>
      <c r="AK16" s="50"/>
      <c r="AL16" s="397" t="str">
        <f t="shared" si="14"/>
        <v/>
      </c>
      <c r="AM16" s="396">
        <f t="shared" si="16"/>
        <v>84.666666666666671</v>
      </c>
      <c r="AN16" s="396">
        <f t="shared" si="16"/>
        <v>84.888888888888886</v>
      </c>
      <c r="AO16" s="396">
        <f t="shared" si="2"/>
        <v>763</v>
      </c>
      <c r="AP16" s="396">
        <f t="shared" si="15"/>
        <v>84.777777777777771</v>
      </c>
      <c r="AR16" s="35" t="str">
        <f t="shared" si="3"/>
        <v>Sembunyikan</v>
      </c>
    </row>
    <row r="17" spans="2:44">
      <c r="B17" s="7">
        <v>8</v>
      </c>
      <c r="C17" s="7" t="str">
        <f>'Data Siswa'!C11&amp;""</f>
        <v>2893</v>
      </c>
      <c r="D17" s="11" t="str">
        <f>'Data Siswa'!F11&amp;""</f>
        <v/>
      </c>
      <c r="E17" s="434"/>
      <c r="F17" s="50">
        <v>84</v>
      </c>
      <c r="G17" s="50">
        <v>80</v>
      </c>
      <c r="H17" s="397">
        <f t="shared" si="4"/>
        <v>82</v>
      </c>
      <c r="I17" s="50">
        <v>83</v>
      </c>
      <c r="J17" s="50">
        <v>82</v>
      </c>
      <c r="K17" s="397">
        <f t="shared" si="5"/>
        <v>82.5</v>
      </c>
      <c r="L17" s="50">
        <v>83</v>
      </c>
      <c r="M17" s="50">
        <v>81</v>
      </c>
      <c r="N17" s="397">
        <f t="shared" si="6"/>
        <v>82</v>
      </c>
      <c r="O17" s="50">
        <v>80</v>
      </c>
      <c r="P17" s="50">
        <v>81</v>
      </c>
      <c r="Q17" s="397">
        <f t="shared" si="7"/>
        <v>80.5</v>
      </c>
      <c r="R17" s="50">
        <v>84</v>
      </c>
      <c r="S17" s="50">
        <v>81</v>
      </c>
      <c r="T17" s="397">
        <f t="shared" si="8"/>
        <v>82.5</v>
      </c>
      <c r="U17" s="50">
        <v>82</v>
      </c>
      <c r="V17" s="50">
        <v>83</v>
      </c>
      <c r="W17" s="397">
        <f t="shared" si="9"/>
        <v>82.5</v>
      </c>
      <c r="X17" s="50">
        <v>83</v>
      </c>
      <c r="Y17" s="50">
        <v>82</v>
      </c>
      <c r="Z17" s="397">
        <f t="shared" si="10"/>
        <v>82.5</v>
      </c>
      <c r="AA17" s="50">
        <v>87</v>
      </c>
      <c r="AB17" s="50">
        <v>89</v>
      </c>
      <c r="AC17" s="397">
        <f t="shared" si="11"/>
        <v>88</v>
      </c>
      <c r="AD17" s="50">
        <v>83</v>
      </c>
      <c r="AE17" s="50">
        <v>84</v>
      </c>
      <c r="AF17" s="397">
        <f t="shared" si="12"/>
        <v>83.5</v>
      </c>
      <c r="AG17" s="49"/>
      <c r="AH17" s="50"/>
      <c r="AI17" s="397" t="str">
        <f t="shared" si="13"/>
        <v/>
      </c>
      <c r="AJ17" s="50"/>
      <c r="AK17" s="50"/>
      <c r="AL17" s="397" t="str">
        <f t="shared" si="14"/>
        <v/>
      </c>
      <c r="AM17" s="396">
        <f t="shared" si="16"/>
        <v>83.222222222222229</v>
      </c>
      <c r="AN17" s="396">
        <f t="shared" si="16"/>
        <v>82.555555555555557</v>
      </c>
      <c r="AO17" s="396">
        <f t="shared" si="2"/>
        <v>746</v>
      </c>
      <c r="AP17" s="396">
        <f t="shared" si="15"/>
        <v>82.888888888888886</v>
      </c>
      <c r="AR17" s="35" t="str">
        <f t="shared" si="3"/>
        <v>Sembunyikan</v>
      </c>
    </row>
    <row r="18" spans="2:44">
      <c r="B18" s="7">
        <v>9</v>
      </c>
      <c r="C18" s="7" t="str">
        <f>'Data Siswa'!C12&amp;""</f>
        <v>2892</v>
      </c>
      <c r="D18" s="11" t="str">
        <f>'Data Siswa'!F12&amp;""</f>
        <v/>
      </c>
      <c r="E18" s="434"/>
      <c r="F18" s="50">
        <v>96</v>
      </c>
      <c r="G18" s="50">
        <v>89</v>
      </c>
      <c r="H18" s="397">
        <f t="shared" si="4"/>
        <v>92.5</v>
      </c>
      <c r="I18" s="50">
        <v>86</v>
      </c>
      <c r="J18" s="50">
        <v>88</v>
      </c>
      <c r="K18" s="397">
        <f t="shared" si="5"/>
        <v>87</v>
      </c>
      <c r="L18" s="50">
        <v>86</v>
      </c>
      <c r="M18" s="50">
        <v>86</v>
      </c>
      <c r="N18" s="397">
        <f t="shared" si="6"/>
        <v>86</v>
      </c>
      <c r="O18" s="50">
        <v>86</v>
      </c>
      <c r="P18" s="50">
        <v>87</v>
      </c>
      <c r="Q18" s="397">
        <f t="shared" si="7"/>
        <v>86.5</v>
      </c>
      <c r="R18" s="50">
        <v>84</v>
      </c>
      <c r="S18" s="50">
        <v>86</v>
      </c>
      <c r="T18" s="397">
        <f t="shared" si="8"/>
        <v>85</v>
      </c>
      <c r="U18" s="50">
        <v>83</v>
      </c>
      <c r="V18" s="50">
        <v>88</v>
      </c>
      <c r="W18" s="397">
        <f t="shared" si="9"/>
        <v>85.5</v>
      </c>
      <c r="X18" s="50">
        <v>86</v>
      </c>
      <c r="Y18" s="50">
        <v>88</v>
      </c>
      <c r="Z18" s="397">
        <f t="shared" si="10"/>
        <v>87</v>
      </c>
      <c r="AA18" s="50">
        <v>92</v>
      </c>
      <c r="AB18" s="50">
        <v>90</v>
      </c>
      <c r="AC18" s="397">
        <f t="shared" si="11"/>
        <v>91</v>
      </c>
      <c r="AD18" s="50">
        <v>85</v>
      </c>
      <c r="AE18" s="50">
        <v>88</v>
      </c>
      <c r="AF18" s="397">
        <f t="shared" si="12"/>
        <v>86.5</v>
      </c>
      <c r="AG18" s="49"/>
      <c r="AH18" s="50"/>
      <c r="AI18" s="397" t="str">
        <f t="shared" si="13"/>
        <v/>
      </c>
      <c r="AJ18" s="50"/>
      <c r="AK18" s="50"/>
      <c r="AL18" s="397" t="str">
        <f t="shared" si="14"/>
        <v/>
      </c>
      <c r="AM18" s="396">
        <f t="shared" si="16"/>
        <v>87.111111111111114</v>
      </c>
      <c r="AN18" s="396">
        <f t="shared" si="16"/>
        <v>87.777777777777771</v>
      </c>
      <c r="AO18" s="396">
        <f t="shared" si="2"/>
        <v>787</v>
      </c>
      <c r="AP18" s="396">
        <f t="shared" si="15"/>
        <v>87.444444444444443</v>
      </c>
      <c r="AR18" s="35" t="str">
        <f t="shared" si="3"/>
        <v>Sembunyikan</v>
      </c>
    </row>
    <row r="19" spans="2:44">
      <c r="B19" s="7">
        <v>10</v>
      </c>
      <c r="C19" s="7" t="str">
        <f>'Data Siswa'!C13&amp;""</f>
        <v>2894</v>
      </c>
      <c r="D19" s="11" t="str">
        <f>'Data Siswa'!F13&amp;""</f>
        <v/>
      </c>
      <c r="E19" s="434"/>
      <c r="F19" s="50">
        <v>92</v>
      </c>
      <c r="G19" s="50">
        <v>86</v>
      </c>
      <c r="H19" s="397">
        <f t="shared" si="4"/>
        <v>89</v>
      </c>
      <c r="I19" s="50">
        <v>85</v>
      </c>
      <c r="J19" s="50">
        <v>86</v>
      </c>
      <c r="K19" s="397">
        <f t="shared" si="5"/>
        <v>85.5</v>
      </c>
      <c r="L19" s="50">
        <v>84</v>
      </c>
      <c r="M19" s="50">
        <v>84</v>
      </c>
      <c r="N19" s="397">
        <f t="shared" si="6"/>
        <v>84</v>
      </c>
      <c r="O19" s="50">
        <v>82</v>
      </c>
      <c r="P19" s="50">
        <v>85</v>
      </c>
      <c r="Q19" s="397">
        <f t="shared" si="7"/>
        <v>83.5</v>
      </c>
      <c r="R19" s="50">
        <v>85</v>
      </c>
      <c r="S19" s="50">
        <v>83</v>
      </c>
      <c r="T19" s="397">
        <f t="shared" si="8"/>
        <v>84</v>
      </c>
      <c r="U19" s="50">
        <v>84</v>
      </c>
      <c r="V19" s="50">
        <v>84</v>
      </c>
      <c r="W19" s="397">
        <f t="shared" si="9"/>
        <v>84</v>
      </c>
      <c r="X19" s="50">
        <v>84</v>
      </c>
      <c r="Y19" s="50">
        <v>83</v>
      </c>
      <c r="Z19" s="397">
        <f t="shared" si="10"/>
        <v>83.5</v>
      </c>
      <c r="AA19" s="50">
        <v>88</v>
      </c>
      <c r="AB19" s="50">
        <v>90</v>
      </c>
      <c r="AC19" s="397">
        <f t="shared" si="11"/>
        <v>89</v>
      </c>
      <c r="AD19" s="50">
        <v>85</v>
      </c>
      <c r="AE19" s="50">
        <v>85</v>
      </c>
      <c r="AF19" s="397">
        <f t="shared" si="12"/>
        <v>85</v>
      </c>
      <c r="AG19" s="49"/>
      <c r="AH19" s="50"/>
      <c r="AI19" s="397" t="str">
        <f t="shared" si="13"/>
        <v/>
      </c>
      <c r="AJ19" s="50"/>
      <c r="AK19" s="50"/>
      <c r="AL19" s="397" t="str">
        <f t="shared" si="14"/>
        <v/>
      </c>
      <c r="AM19" s="396">
        <f t="shared" si="16"/>
        <v>85.444444444444443</v>
      </c>
      <c r="AN19" s="396">
        <f t="shared" si="16"/>
        <v>85.111111111111114</v>
      </c>
      <c r="AO19" s="396">
        <f t="shared" si="2"/>
        <v>767.5</v>
      </c>
      <c r="AP19" s="396">
        <f t="shared" si="15"/>
        <v>85.277777777777771</v>
      </c>
      <c r="AR19" s="35" t="str">
        <f t="shared" si="3"/>
        <v>Sembunyikan</v>
      </c>
    </row>
    <row r="20" spans="2:44">
      <c r="B20" s="7">
        <v>11</v>
      </c>
      <c r="C20" s="7" t="str">
        <f>'Data Siswa'!C14&amp;""</f>
        <v>2895</v>
      </c>
      <c r="D20" s="11" t="str">
        <f>'Data Siswa'!F14&amp;""</f>
        <v/>
      </c>
      <c r="E20" s="434"/>
      <c r="F20" s="50">
        <v>84</v>
      </c>
      <c r="G20" s="50">
        <v>78</v>
      </c>
      <c r="H20" s="397">
        <f t="shared" si="4"/>
        <v>81</v>
      </c>
      <c r="I20" s="50">
        <v>83</v>
      </c>
      <c r="J20" s="50">
        <v>80</v>
      </c>
      <c r="K20" s="397">
        <f t="shared" si="5"/>
        <v>81.5</v>
      </c>
      <c r="L20" s="50">
        <v>84</v>
      </c>
      <c r="M20" s="50">
        <v>83</v>
      </c>
      <c r="N20" s="397">
        <f t="shared" si="6"/>
        <v>83.5</v>
      </c>
      <c r="O20" s="50">
        <v>80</v>
      </c>
      <c r="P20" s="50">
        <v>81</v>
      </c>
      <c r="Q20" s="397">
        <f t="shared" si="7"/>
        <v>80.5</v>
      </c>
      <c r="R20" s="50">
        <v>82</v>
      </c>
      <c r="S20" s="50">
        <v>80</v>
      </c>
      <c r="T20" s="397">
        <f t="shared" si="8"/>
        <v>81</v>
      </c>
      <c r="U20" s="50">
        <v>82</v>
      </c>
      <c r="V20" s="50">
        <v>82</v>
      </c>
      <c r="W20" s="397">
        <f t="shared" si="9"/>
        <v>82</v>
      </c>
      <c r="X20" s="50">
        <v>82</v>
      </c>
      <c r="Y20" s="50">
        <v>83</v>
      </c>
      <c r="Z20" s="397">
        <f t="shared" si="10"/>
        <v>82.5</v>
      </c>
      <c r="AA20" s="50">
        <v>86</v>
      </c>
      <c r="AB20" s="50">
        <v>89</v>
      </c>
      <c r="AC20" s="397">
        <f t="shared" si="11"/>
        <v>87.5</v>
      </c>
      <c r="AD20" s="50">
        <v>81</v>
      </c>
      <c r="AE20" s="50">
        <v>83</v>
      </c>
      <c r="AF20" s="397">
        <f t="shared" si="12"/>
        <v>82</v>
      </c>
      <c r="AG20" s="49"/>
      <c r="AH20" s="50"/>
      <c r="AI20" s="397" t="str">
        <f t="shared" si="13"/>
        <v/>
      </c>
      <c r="AJ20" s="50"/>
      <c r="AK20" s="50"/>
      <c r="AL20" s="397" t="str">
        <f t="shared" si="14"/>
        <v/>
      </c>
      <c r="AM20" s="396">
        <f t="shared" si="16"/>
        <v>82.666666666666671</v>
      </c>
      <c r="AN20" s="396">
        <f t="shared" si="16"/>
        <v>82.111111111111114</v>
      </c>
      <c r="AO20" s="396">
        <f t="shared" si="2"/>
        <v>741.5</v>
      </c>
      <c r="AP20" s="396">
        <f t="shared" si="15"/>
        <v>82.388888888888886</v>
      </c>
      <c r="AR20" s="35" t="str">
        <f t="shared" si="3"/>
        <v>Sembunyikan</v>
      </c>
    </row>
    <row r="21" spans="2:44">
      <c r="B21" s="7">
        <v>12</v>
      </c>
      <c r="C21" s="7" t="str">
        <f>'Data Siswa'!C15&amp;""</f>
        <v>2896</v>
      </c>
      <c r="D21" s="11" t="str">
        <f>'Data Siswa'!F15&amp;""</f>
        <v/>
      </c>
      <c r="E21" s="434"/>
      <c r="F21" s="50">
        <v>94</v>
      </c>
      <c r="G21" s="50">
        <v>88</v>
      </c>
      <c r="H21" s="397">
        <f t="shared" si="4"/>
        <v>91</v>
      </c>
      <c r="I21" s="50">
        <v>85</v>
      </c>
      <c r="J21" s="50">
        <v>87</v>
      </c>
      <c r="K21" s="397">
        <f t="shared" si="5"/>
        <v>86</v>
      </c>
      <c r="L21" s="50">
        <v>85</v>
      </c>
      <c r="M21" s="50">
        <v>87</v>
      </c>
      <c r="N21" s="397">
        <f t="shared" si="6"/>
        <v>86</v>
      </c>
      <c r="O21" s="50">
        <v>85</v>
      </c>
      <c r="P21" s="50">
        <v>86</v>
      </c>
      <c r="Q21" s="397">
        <f t="shared" si="7"/>
        <v>85.5</v>
      </c>
      <c r="R21" s="50">
        <v>86</v>
      </c>
      <c r="S21" s="50">
        <v>85</v>
      </c>
      <c r="T21" s="397">
        <f t="shared" si="8"/>
        <v>85.5</v>
      </c>
      <c r="U21" s="50">
        <v>86</v>
      </c>
      <c r="V21" s="50">
        <v>86</v>
      </c>
      <c r="W21" s="397">
        <f t="shared" si="9"/>
        <v>86</v>
      </c>
      <c r="X21" s="50">
        <v>85</v>
      </c>
      <c r="Y21" s="50">
        <v>85</v>
      </c>
      <c r="Z21" s="397">
        <f t="shared" si="10"/>
        <v>85</v>
      </c>
      <c r="AA21" s="50">
        <v>90</v>
      </c>
      <c r="AB21" s="50">
        <v>90</v>
      </c>
      <c r="AC21" s="397">
        <f t="shared" si="11"/>
        <v>90</v>
      </c>
      <c r="AD21" s="50">
        <v>85</v>
      </c>
      <c r="AE21" s="50">
        <v>84</v>
      </c>
      <c r="AF21" s="397">
        <f t="shared" si="12"/>
        <v>84.5</v>
      </c>
      <c r="AG21" s="49"/>
      <c r="AH21" s="50"/>
      <c r="AI21" s="397" t="str">
        <f t="shared" si="13"/>
        <v/>
      </c>
      <c r="AJ21" s="50"/>
      <c r="AK21" s="50"/>
      <c r="AL21" s="397" t="str">
        <f t="shared" si="14"/>
        <v/>
      </c>
      <c r="AM21" s="396">
        <f t="shared" si="16"/>
        <v>86.777777777777771</v>
      </c>
      <c r="AN21" s="396">
        <f t="shared" si="16"/>
        <v>86.444444444444443</v>
      </c>
      <c r="AO21" s="396">
        <f t="shared" si="2"/>
        <v>779.5</v>
      </c>
      <c r="AP21" s="396">
        <f t="shared" si="15"/>
        <v>86.611111111111114</v>
      </c>
      <c r="AR21" s="35" t="str">
        <f t="shared" si="3"/>
        <v>Sembunyikan</v>
      </c>
    </row>
    <row r="22" spans="2:44">
      <c r="B22" s="7">
        <v>13</v>
      </c>
      <c r="C22" s="7" t="str">
        <f>'Data Siswa'!C16&amp;""</f>
        <v>2897</v>
      </c>
      <c r="D22" s="11" t="str">
        <f>'Data Siswa'!F16&amp;""</f>
        <v/>
      </c>
      <c r="E22" s="434"/>
      <c r="F22" s="50">
        <v>84</v>
      </c>
      <c r="G22" s="50">
        <v>80</v>
      </c>
      <c r="H22" s="397">
        <f t="shared" si="4"/>
        <v>82</v>
      </c>
      <c r="I22" s="50">
        <v>83</v>
      </c>
      <c r="J22" s="50">
        <v>82</v>
      </c>
      <c r="K22" s="397">
        <f t="shared" si="5"/>
        <v>82.5</v>
      </c>
      <c r="L22" s="50">
        <v>83</v>
      </c>
      <c r="M22" s="50">
        <v>82</v>
      </c>
      <c r="N22" s="397">
        <f t="shared" si="6"/>
        <v>82.5</v>
      </c>
      <c r="O22" s="50">
        <v>81</v>
      </c>
      <c r="P22" s="50">
        <v>82</v>
      </c>
      <c r="Q22" s="397">
        <f t="shared" si="7"/>
        <v>81.5</v>
      </c>
      <c r="R22" s="50">
        <v>82</v>
      </c>
      <c r="S22" s="50">
        <v>81</v>
      </c>
      <c r="T22" s="397">
        <f t="shared" si="8"/>
        <v>81.5</v>
      </c>
      <c r="U22" s="50">
        <v>81</v>
      </c>
      <c r="V22" s="50">
        <v>82</v>
      </c>
      <c r="W22" s="397">
        <f t="shared" si="9"/>
        <v>81.5</v>
      </c>
      <c r="X22" s="50">
        <v>82</v>
      </c>
      <c r="Y22" s="50">
        <v>82</v>
      </c>
      <c r="Z22" s="397">
        <f t="shared" si="10"/>
        <v>82</v>
      </c>
      <c r="AA22" s="50">
        <v>84</v>
      </c>
      <c r="AB22" s="50">
        <v>89</v>
      </c>
      <c r="AC22" s="397">
        <f t="shared" si="11"/>
        <v>86.5</v>
      </c>
      <c r="AD22" s="50">
        <v>82</v>
      </c>
      <c r="AE22" s="50">
        <v>83</v>
      </c>
      <c r="AF22" s="397">
        <f t="shared" si="12"/>
        <v>82.5</v>
      </c>
      <c r="AG22" s="49"/>
      <c r="AH22" s="50"/>
      <c r="AI22" s="397" t="str">
        <f t="shared" si="13"/>
        <v/>
      </c>
      <c r="AJ22" s="50"/>
      <c r="AK22" s="50"/>
      <c r="AL22" s="397" t="str">
        <f t="shared" si="14"/>
        <v/>
      </c>
      <c r="AM22" s="396">
        <f t="shared" si="16"/>
        <v>82.444444444444443</v>
      </c>
      <c r="AN22" s="396">
        <f t="shared" si="16"/>
        <v>82.555555555555557</v>
      </c>
      <c r="AO22" s="396">
        <f t="shared" si="2"/>
        <v>742.5</v>
      </c>
      <c r="AP22" s="396">
        <f t="shared" si="15"/>
        <v>82.5</v>
      </c>
      <c r="AR22" s="35" t="str">
        <f t="shared" si="3"/>
        <v>Sembunyikan</v>
      </c>
    </row>
    <row r="23" spans="2:44">
      <c r="B23" s="7">
        <v>14</v>
      </c>
      <c r="C23" s="7" t="str">
        <f>'Data Siswa'!C17&amp;""</f>
        <v>2898</v>
      </c>
      <c r="D23" s="11" t="str">
        <f>'Data Siswa'!F17&amp;""</f>
        <v/>
      </c>
      <c r="E23" s="434"/>
      <c r="F23" s="50">
        <v>83</v>
      </c>
      <c r="G23" s="50">
        <v>81</v>
      </c>
      <c r="H23" s="397">
        <f t="shared" si="4"/>
        <v>82</v>
      </c>
      <c r="I23" s="50">
        <v>83</v>
      </c>
      <c r="J23" s="50">
        <v>80</v>
      </c>
      <c r="K23" s="397">
        <f t="shared" si="5"/>
        <v>81.5</v>
      </c>
      <c r="L23" s="50">
        <v>83</v>
      </c>
      <c r="M23" s="50">
        <v>83</v>
      </c>
      <c r="N23" s="397">
        <f t="shared" si="6"/>
        <v>83</v>
      </c>
      <c r="O23" s="50">
        <v>80</v>
      </c>
      <c r="P23" s="50">
        <v>81</v>
      </c>
      <c r="Q23" s="397">
        <f t="shared" si="7"/>
        <v>80.5</v>
      </c>
      <c r="R23" s="50">
        <v>83</v>
      </c>
      <c r="S23" s="50">
        <v>80</v>
      </c>
      <c r="T23" s="397">
        <f t="shared" si="8"/>
        <v>81.5</v>
      </c>
      <c r="U23" s="50">
        <v>81</v>
      </c>
      <c r="V23" s="50">
        <v>82</v>
      </c>
      <c r="W23" s="397">
        <f t="shared" si="9"/>
        <v>81.5</v>
      </c>
      <c r="X23" s="50">
        <v>80</v>
      </c>
      <c r="Y23" s="50">
        <v>81</v>
      </c>
      <c r="Z23" s="397">
        <f t="shared" si="10"/>
        <v>80.5</v>
      </c>
      <c r="AA23" s="50">
        <v>88</v>
      </c>
      <c r="AB23" s="50">
        <v>89</v>
      </c>
      <c r="AC23" s="397">
        <f t="shared" si="11"/>
        <v>88.5</v>
      </c>
      <c r="AD23" s="50">
        <v>82</v>
      </c>
      <c r="AE23" s="50">
        <v>81</v>
      </c>
      <c r="AF23" s="397">
        <f t="shared" si="12"/>
        <v>81.5</v>
      </c>
      <c r="AG23" s="49"/>
      <c r="AH23" s="50"/>
      <c r="AI23" s="397" t="str">
        <f t="shared" si="13"/>
        <v/>
      </c>
      <c r="AJ23" s="50"/>
      <c r="AK23" s="50"/>
      <c r="AL23" s="397" t="str">
        <f t="shared" si="14"/>
        <v/>
      </c>
      <c r="AM23" s="396">
        <f t="shared" si="16"/>
        <v>82.555555555555557</v>
      </c>
      <c r="AN23" s="396">
        <f t="shared" si="16"/>
        <v>82</v>
      </c>
      <c r="AO23" s="396">
        <f t="shared" si="2"/>
        <v>740.5</v>
      </c>
      <c r="AP23" s="396">
        <f t="shared" si="15"/>
        <v>82.277777777777771</v>
      </c>
      <c r="AR23" s="35" t="str">
        <f t="shared" si="3"/>
        <v>Sembunyikan</v>
      </c>
    </row>
    <row r="24" spans="2:44">
      <c r="B24" s="7">
        <v>15</v>
      </c>
      <c r="C24" s="7" t="str">
        <f>'Data Siswa'!C18&amp;""</f>
        <v>2900</v>
      </c>
      <c r="D24" s="11" t="str">
        <f>'Data Siswa'!F18&amp;""</f>
        <v/>
      </c>
      <c r="E24" s="434"/>
      <c r="F24" s="50">
        <v>78</v>
      </c>
      <c r="G24" s="50">
        <v>80</v>
      </c>
      <c r="H24" s="397">
        <f t="shared" si="4"/>
        <v>79</v>
      </c>
      <c r="I24" s="50">
        <v>84</v>
      </c>
      <c r="J24" s="50">
        <v>83</v>
      </c>
      <c r="K24" s="397">
        <f t="shared" si="5"/>
        <v>83.5</v>
      </c>
      <c r="L24" s="50">
        <v>83</v>
      </c>
      <c r="M24" s="50">
        <v>83</v>
      </c>
      <c r="N24" s="397">
        <f t="shared" si="6"/>
        <v>83</v>
      </c>
      <c r="O24" s="50">
        <v>78</v>
      </c>
      <c r="P24" s="50">
        <v>81</v>
      </c>
      <c r="Q24" s="397">
        <f t="shared" si="7"/>
        <v>79.5</v>
      </c>
      <c r="R24" s="50">
        <v>83</v>
      </c>
      <c r="S24" s="50">
        <v>80</v>
      </c>
      <c r="T24" s="397">
        <f t="shared" si="8"/>
        <v>81.5</v>
      </c>
      <c r="U24" s="50">
        <v>79</v>
      </c>
      <c r="V24" s="50">
        <v>82</v>
      </c>
      <c r="W24" s="397">
        <f t="shared" si="9"/>
        <v>80.5</v>
      </c>
      <c r="X24" s="50">
        <v>80</v>
      </c>
      <c r="Y24" s="50">
        <v>80</v>
      </c>
      <c r="Z24" s="397">
        <f t="shared" si="10"/>
        <v>80</v>
      </c>
      <c r="AA24" s="50">
        <v>83</v>
      </c>
      <c r="AB24" s="50">
        <v>89</v>
      </c>
      <c r="AC24" s="397">
        <f t="shared" si="11"/>
        <v>86</v>
      </c>
      <c r="AD24" s="50">
        <v>83</v>
      </c>
      <c r="AE24" s="50">
        <v>82</v>
      </c>
      <c r="AF24" s="397">
        <f t="shared" si="12"/>
        <v>82.5</v>
      </c>
      <c r="AG24" s="49"/>
      <c r="AH24" s="50"/>
      <c r="AI24" s="397" t="str">
        <f t="shared" si="13"/>
        <v/>
      </c>
      <c r="AJ24" s="50"/>
      <c r="AK24" s="50"/>
      <c r="AL24" s="397" t="str">
        <f t="shared" si="14"/>
        <v/>
      </c>
      <c r="AM24" s="396">
        <f t="shared" si="16"/>
        <v>81.222222222222229</v>
      </c>
      <c r="AN24" s="396">
        <f t="shared" si="16"/>
        <v>82.222222222222229</v>
      </c>
      <c r="AO24" s="396">
        <f t="shared" si="2"/>
        <v>735.5</v>
      </c>
      <c r="AP24" s="396">
        <f t="shared" si="15"/>
        <v>81.722222222222229</v>
      </c>
      <c r="AR24" s="35" t="str">
        <f t="shared" si="3"/>
        <v>Sembunyikan</v>
      </c>
    </row>
    <row r="25" spans="2:44">
      <c r="B25" s="7">
        <v>16</v>
      </c>
      <c r="C25" s="7" t="str">
        <f>'Data Siswa'!C19&amp;""</f>
        <v>2899</v>
      </c>
      <c r="D25" s="11" t="str">
        <f>'Data Siswa'!F19&amp;""</f>
        <v/>
      </c>
      <c r="E25" s="434"/>
      <c r="F25" s="50">
        <v>85</v>
      </c>
      <c r="G25" s="50">
        <v>81</v>
      </c>
      <c r="H25" s="397">
        <f t="shared" si="4"/>
        <v>83</v>
      </c>
      <c r="I25" s="50">
        <v>84</v>
      </c>
      <c r="J25" s="50">
        <v>82</v>
      </c>
      <c r="K25" s="397">
        <f t="shared" si="5"/>
        <v>83</v>
      </c>
      <c r="L25" s="50">
        <v>84</v>
      </c>
      <c r="M25" s="50">
        <v>84</v>
      </c>
      <c r="N25" s="397">
        <f t="shared" si="6"/>
        <v>84</v>
      </c>
      <c r="O25" s="50">
        <v>80</v>
      </c>
      <c r="P25" s="50">
        <v>83</v>
      </c>
      <c r="Q25" s="397">
        <f t="shared" si="7"/>
        <v>81.5</v>
      </c>
      <c r="R25" s="50">
        <v>83</v>
      </c>
      <c r="S25" s="50">
        <v>81</v>
      </c>
      <c r="T25" s="397">
        <f t="shared" si="8"/>
        <v>82</v>
      </c>
      <c r="U25" s="50">
        <v>81</v>
      </c>
      <c r="V25" s="50">
        <v>83</v>
      </c>
      <c r="W25" s="397">
        <f t="shared" si="9"/>
        <v>82</v>
      </c>
      <c r="X25" s="50">
        <v>81</v>
      </c>
      <c r="Y25" s="50">
        <v>83</v>
      </c>
      <c r="Z25" s="397">
        <f t="shared" si="10"/>
        <v>82</v>
      </c>
      <c r="AA25" s="50">
        <v>87</v>
      </c>
      <c r="AB25" s="50">
        <v>89</v>
      </c>
      <c r="AC25" s="397">
        <f t="shared" si="11"/>
        <v>88</v>
      </c>
      <c r="AD25" s="50">
        <v>85</v>
      </c>
      <c r="AE25" s="50">
        <v>83</v>
      </c>
      <c r="AF25" s="397">
        <f t="shared" si="12"/>
        <v>84</v>
      </c>
      <c r="AG25" s="49"/>
      <c r="AH25" s="50"/>
      <c r="AI25" s="397" t="str">
        <f t="shared" si="13"/>
        <v/>
      </c>
      <c r="AJ25" s="50"/>
      <c r="AK25" s="50"/>
      <c r="AL25" s="397" t="str">
        <f t="shared" si="14"/>
        <v/>
      </c>
      <c r="AM25" s="396">
        <f t="shared" si="16"/>
        <v>83.333333333333329</v>
      </c>
      <c r="AN25" s="396">
        <f t="shared" si="16"/>
        <v>83.222222222222229</v>
      </c>
      <c r="AO25" s="396">
        <f t="shared" si="2"/>
        <v>749.5</v>
      </c>
      <c r="AP25" s="396">
        <f t="shared" si="15"/>
        <v>83.277777777777771</v>
      </c>
      <c r="AR25" s="35" t="str">
        <f t="shared" si="3"/>
        <v>Sembunyikan</v>
      </c>
    </row>
    <row r="26" spans="2:44">
      <c r="B26" s="7">
        <v>17</v>
      </c>
      <c r="C26" s="7" t="str">
        <f>'Data Siswa'!C20&amp;""</f>
        <v>2901</v>
      </c>
      <c r="D26" s="11" t="str">
        <f>'Data Siswa'!F20&amp;""</f>
        <v/>
      </c>
      <c r="E26" s="434"/>
      <c r="F26" s="50">
        <v>85</v>
      </c>
      <c r="G26" s="50">
        <v>86</v>
      </c>
      <c r="H26" s="397">
        <f t="shared" si="4"/>
        <v>85.5</v>
      </c>
      <c r="I26" s="50">
        <v>83</v>
      </c>
      <c r="J26" s="50">
        <v>82</v>
      </c>
      <c r="K26" s="397">
        <f t="shared" si="5"/>
        <v>82.5</v>
      </c>
      <c r="L26" s="50">
        <v>84</v>
      </c>
      <c r="M26" s="50">
        <v>84</v>
      </c>
      <c r="N26" s="397">
        <f t="shared" si="6"/>
        <v>84</v>
      </c>
      <c r="O26" s="50">
        <v>80</v>
      </c>
      <c r="P26" s="50">
        <v>83</v>
      </c>
      <c r="Q26" s="397">
        <f t="shared" si="7"/>
        <v>81.5</v>
      </c>
      <c r="R26" s="50">
        <v>85</v>
      </c>
      <c r="S26" s="50">
        <v>81</v>
      </c>
      <c r="T26" s="397">
        <f t="shared" si="8"/>
        <v>83</v>
      </c>
      <c r="U26" s="50">
        <v>82</v>
      </c>
      <c r="V26" s="50">
        <v>83</v>
      </c>
      <c r="W26" s="397">
        <f t="shared" si="9"/>
        <v>82.5</v>
      </c>
      <c r="X26" s="50">
        <v>82</v>
      </c>
      <c r="Y26" s="50">
        <v>82</v>
      </c>
      <c r="Z26" s="397">
        <f t="shared" si="10"/>
        <v>82</v>
      </c>
      <c r="AA26" s="50">
        <v>83</v>
      </c>
      <c r="AB26" s="50">
        <v>89</v>
      </c>
      <c r="AC26" s="397">
        <f t="shared" si="11"/>
        <v>86</v>
      </c>
      <c r="AD26" s="50">
        <v>83</v>
      </c>
      <c r="AE26" s="50">
        <v>83</v>
      </c>
      <c r="AF26" s="397">
        <f t="shared" si="12"/>
        <v>83</v>
      </c>
      <c r="AG26" s="49"/>
      <c r="AH26" s="50"/>
      <c r="AI26" s="397" t="str">
        <f t="shared" si="13"/>
        <v/>
      </c>
      <c r="AJ26" s="50"/>
      <c r="AK26" s="50"/>
      <c r="AL26" s="397" t="str">
        <f t="shared" si="14"/>
        <v/>
      </c>
      <c r="AM26" s="396">
        <f t="shared" si="16"/>
        <v>83</v>
      </c>
      <c r="AN26" s="396">
        <f t="shared" si="16"/>
        <v>83.666666666666671</v>
      </c>
      <c r="AO26" s="396">
        <f t="shared" si="2"/>
        <v>750</v>
      </c>
      <c r="AP26" s="396">
        <f t="shared" si="15"/>
        <v>83.333333333333329</v>
      </c>
      <c r="AR26" s="35" t="str">
        <f t="shared" si="3"/>
        <v>Sembunyikan</v>
      </c>
    </row>
    <row r="27" spans="2:44">
      <c r="B27" s="7">
        <v>18</v>
      </c>
      <c r="C27" s="7" t="str">
        <f>'Data Siswa'!C21&amp;""</f>
        <v>2902</v>
      </c>
      <c r="D27" s="11" t="str">
        <f>'Data Siswa'!F21&amp;""</f>
        <v/>
      </c>
      <c r="E27" s="434"/>
      <c r="F27" s="50">
        <v>96</v>
      </c>
      <c r="G27" s="50">
        <v>90</v>
      </c>
      <c r="H27" s="397">
        <f t="shared" si="4"/>
        <v>93</v>
      </c>
      <c r="I27" s="50">
        <v>87</v>
      </c>
      <c r="J27" s="50">
        <v>85</v>
      </c>
      <c r="K27" s="397">
        <f t="shared" si="5"/>
        <v>86</v>
      </c>
      <c r="L27" s="50">
        <v>88</v>
      </c>
      <c r="M27" s="50">
        <v>86</v>
      </c>
      <c r="N27" s="397">
        <f t="shared" si="6"/>
        <v>87</v>
      </c>
      <c r="O27" s="50">
        <v>84</v>
      </c>
      <c r="P27" s="50">
        <v>85</v>
      </c>
      <c r="Q27" s="397">
        <f t="shared" si="7"/>
        <v>84.5</v>
      </c>
      <c r="R27" s="50">
        <v>86</v>
      </c>
      <c r="S27" s="50">
        <v>83</v>
      </c>
      <c r="T27" s="397">
        <f t="shared" si="8"/>
        <v>84.5</v>
      </c>
      <c r="U27" s="50">
        <v>84</v>
      </c>
      <c r="V27" s="50">
        <v>85</v>
      </c>
      <c r="W27" s="397">
        <f t="shared" si="9"/>
        <v>84.5</v>
      </c>
      <c r="X27" s="50">
        <v>84</v>
      </c>
      <c r="Y27" s="50">
        <v>85</v>
      </c>
      <c r="Z27" s="397">
        <f t="shared" si="10"/>
        <v>84.5</v>
      </c>
      <c r="AA27" s="50">
        <v>87</v>
      </c>
      <c r="AB27" s="50">
        <v>89</v>
      </c>
      <c r="AC27" s="397">
        <f t="shared" si="11"/>
        <v>88</v>
      </c>
      <c r="AD27" s="50">
        <v>85</v>
      </c>
      <c r="AE27" s="50">
        <v>85</v>
      </c>
      <c r="AF27" s="397">
        <f t="shared" si="12"/>
        <v>85</v>
      </c>
      <c r="AG27" s="49"/>
      <c r="AH27" s="50"/>
      <c r="AI27" s="397" t="str">
        <f t="shared" si="13"/>
        <v/>
      </c>
      <c r="AJ27" s="50"/>
      <c r="AK27" s="50"/>
      <c r="AL27" s="397" t="str">
        <f t="shared" si="14"/>
        <v/>
      </c>
      <c r="AM27" s="396">
        <f t="shared" si="16"/>
        <v>86.777777777777771</v>
      </c>
      <c r="AN27" s="396">
        <f t="shared" si="16"/>
        <v>85.888888888888886</v>
      </c>
      <c r="AO27" s="396">
        <f t="shared" si="2"/>
        <v>777</v>
      </c>
      <c r="AP27" s="396">
        <f t="shared" si="15"/>
        <v>86.333333333333329</v>
      </c>
      <c r="AR27" s="35" t="str">
        <f t="shared" si="3"/>
        <v>Sembunyikan</v>
      </c>
    </row>
    <row r="28" spans="2:44">
      <c r="B28" s="7">
        <v>19</v>
      </c>
      <c r="C28" s="7" t="str">
        <f>'Data Siswa'!C22&amp;""</f>
        <v>2904</v>
      </c>
      <c r="D28" s="11" t="str">
        <f>'Data Siswa'!F22&amp;""</f>
        <v/>
      </c>
      <c r="E28" s="434"/>
      <c r="F28" s="50">
        <v>84</v>
      </c>
      <c r="G28" s="50">
        <v>85</v>
      </c>
      <c r="H28" s="397">
        <f t="shared" si="4"/>
        <v>84.5</v>
      </c>
      <c r="I28" s="50">
        <v>83</v>
      </c>
      <c r="J28" s="50">
        <v>84</v>
      </c>
      <c r="K28" s="397">
        <f t="shared" si="5"/>
        <v>83.5</v>
      </c>
      <c r="L28" s="50">
        <v>84</v>
      </c>
      <c r="M28" s="50">
        <v>84</v>
      </c>
      <c r="N28" s="397">
        <f t="shared" si="6"/>
        <v>84</v>
      </c>
      <c r="O28" s="50">
        <v>84</v>
      </c>
      <c r="P28" s="50">
        <v>85</v>
      </c>
      <c r="Q28" s="397">
        <f t="shared" si="7"/>
        <v>84.5</v>
      </c>
      <c r="R28" s="50">
        <v>83</v>
      </c>
      <c r="S28" s="50">
        <v>82</v>
      </c>
      <c r="T28" s="397">
        <f t="shared" si="8"/>
        <v>82.5</v>
      </c>
      <c r="U28" s="50">
        <v>85</v>
      </c>
      <c r="V28" s="50">
        <v>83</v>
      </c>
      <c r="W28" s="397">
        <f t="shared" si="9"/>
        <v>84</v>
      </c>
      <c r="X28" s="50">
        <v>83</v>
      </c>
      <c r="Y28" s="50">
        <v>84</v>
      </c>
      <c r="Z28" s="397">
        <f t="shared" si="10"/>
        <v>83.5</v>
      </c>
      <c r="AA28" s="50">
        <v>85</v>
      </c>
      <c r="AB28" s="50">
        <v>89</v>
      </c>
      <c r="AC28" s="397">
        <f t="shared" si="11"/>
        <v>87</v>
      </c>
      <c r="AD28" s="50">
        <v>83</v>
      </c>
      <c r="AE28" s="50">
        <v>84</v>
      </c>
      <c r="AF28" s="397">
        <f t="shared" si="12"/>
        <v>83.5</v>
      </c>
      <c r="AG28" s="49"/>
      <c r="AH28" s="50"/>
      <c r="AI28" s="397" t="str">
        <f t="shared" si="13"/>
        <v/>
      </c>
      <c r="AJ28" s="50"/>
      <c r="AK28" s="50"/>
      <c r="AL28" s="397" t="str">
        <f t="shared" si="14"/>
        <v/>
      </c>
      <c r="AM28" s="396">
        <f t="shared" si="16"/>
        <v>83.777777777777771</v>
      </c>
      <c r="AN28" s="396">
        <f t="shared" si="16"/>
        <v>84.444444444444443</v>
      </c>
      <c r="AO28" s="396">
        <f t="shared" si="2"/>
        <v>757</v>
      </c>
      <c r="AP28" s="396">
        <f t="shared" si="15"/>
        <v>84.111111111111114</v>
      </c>
      <c r="AR28" s="35" t="str">
        <f t="shared" si="3"/>
        <v>Sembunyikan</v>
      </c>
    </row>
    <row r="29" spans="2:44">
      <c r="B29" s="7">
        <v>20</v>
      </c>
      <c r="C29" s="7" t="str">
        <f>'Data Siswa'!C23&amp;""</f>
        <v>1111</v>
      </c>
      <c r="D29" s="11" t="str">
        <f>'Data Siswa'!F23&amp;""</f>
        <v/>
      </c>
      <c r="E29" s="434"/>
      <c r="F29" s="50">
        <v>88</v>
      </c>
      <c r="G29" s="50">
        <v>81</v>
      </c>
      <c r="H29" s="397">
        <f t="shared" si="4"/>
        <v>84.5</v>
      </c>
      <c r="I29" s="50">
        <v>83</v>
      </c>
      <c r="J29" s="50">
        <v>82</v>
      </c>
      <c r="K29" s="397">
        <f t="shared" si="5"/>
        <v>82.5</v>
      </c>
      <c r="L29" s="50">
        <v>84</v>
      </c>
      <c r="M29" s="50">
        <v>83</v>
      </c>
      <c r="N29" s="397">
        <f t="shared" si="6"/>
        <v>83.5</v>
      </c>
      <c r="O29" s="50">
        <v>81</v>
      </c>
      <c r="P29" s="50">
        <v>83</v>
      </c>
      <c r="Q29" s="397">
        <f t="shared" si="7"/>
        <v>82</v>
      </c>
      <c r="R29" s="50">
        <v>81</v>
      </c>
      <c r="S29" s="50">
        <v>81</v>
      </c>
      <c r="T29" s="397">
        <f t="shared" si="8"/>
        <v>81</v>
      </c>
      <c r="U29" s="50">
        <v>84</v>
      </c>
      <c r="V29" s="50">
        <v>83</v>
      </c>
      <c r="W29" s="397">
        <f t="shared" si="9"/>
        <v>83.5</v>
      </c>
      <c r="X29" s="50">
        <v>82</v>
      </c>
      <c r="Y29" s="50">
        <v>83</v>
      </c>
      <c r="Z29" s="397">
        <f t="shared" si="10"/>
        <v>82.5</v>
      </c>
      <c r="AA29" s="50">
        <v>88</v>
      </c>
      <c r="AB29" s="50">
        <v>89</v>
      </c>
      <c r="AC29" s="397">
        <f t="shared" si="11"/>
        <v>88.5</v>
      </c>
      <c r="AD29" s="50">
        <v>85</v>
      </c>
      <c r="AE29" s="50">
        <v>84</v>
      </c>
      <c r="AF29" s="397">
        <f t="shared" si="12"/>
        <v>84.5</v>
      </c>
      <c r="AG29" s="49"/>
      <c r="AH29" s="50"/>
      <c r="AI29" s="397" t="str">
        <f t="shared" si="13"/>
        <v/>
      </c>
      <c r="AJ29" s="50"/>
      <c r="AK29" s="50"/>
      <c r="AL29" s="397" t="str">
        <f t="shared" si="14"/>
        <v/>
      </c>
      <c r="AM29" s="396">
        <f t="shared" si="16"/>
        <v>84</v>
      </c>
      <c r="AN29" s="396">
        <f t="shared" si="16"/>
        <v>83.222222222222229</v>
      </c>
      <c r="AO29" s="396">
        <f t="shared" si="2"/>
        <v>752.5</v>
      </c>
      <c r="AP29" s="396">
        <f t="shared" si="15"/>
        <v>83.611111111111114</v>
      </c>
      <c r="AR29" s="35" t="str">
        <f t="shared" si="3"/>
        <v>Sembunyikan</v>
      </c>
    </row>
    <row r="30" spans="2:44">
      <c r="B30" s="7">
        <v>21</v>
      </c>
      <c r="C30" s="7" t="str">
        <f>'Data Siswa'!C24&amp;""</f>
        <v>2906</v>
      </c>
      <c r="D30" s="11" t="str">
        <f>'Data Siswa'!F24&amp;""</f>
        <v/>
      </c>
      <c r="E30" s="434"/>
      <c r="F30" s="50">
        <v>78</v>
      </c>
      <c r="G30" s="50">
        <v>83</v>
      </c>
      <c r="H30" s="397">
        <f t="shared" si="4"/>
        <v>80.5</v>
      </c>
      <c r="I30" s="50">
        <v>84</v>
      </c>
      <c r="J30" s="50">
        <v>81</v>
      </c>
      <c r="K30" s="397">
        <f t="shared" si="5"/>
        <v>82.5</v>
      </c>
      <c r="L30" s="50">
        <v>83</v>
      </c>
      <c r="M30" s="50">
        <v>81</v>
      </c>
      <c r="N30" s="397">
        <f t="shared" si="6"/>
        <v>82</v>
      </c>
      <c r="O30" s="50">
        <v>78</v>
      </c>
      <c r="P30" s="50">
        <v>78</v>
      </c>
      <c r="Q30" s="397">
        <f t="shared" si="7"/>
        <v>78</v>
      </c>
      <c r="R30" s="50">
        <v>81</v>
      </c>
      <c r="S30" s="50">
        <v>79</v>
      </c>
      <c r="T30" s="397">
        <f t="shared" si="8"/>
        <v>80</v>
      </c>
      <c r="U30" s="50">
        <v>80</v>
      </c>
      <c r="V30" s="50">
        <v>80</v>
      </c>
      <c r="W30" s="397">
        <f t="shared" si="9"/>
        <v>80</v>
      </c>
      <c r="X30" s="50">
        <v>81</v>
      </c>
      <c r="Y30" s="50">
        <v>82</v>
      </c>
      <c r="Z30" s="397">
        <f t="shared" si="10"/>
        <v>81.5</v>
      </c>
      <c r="AA30" s="50">
        <v>83</v>
      </c>
      <c r="AB30" s="50">
        <v>89</v>
      </c>
      <c r="AC30" s="397">
        <f t="shared" si="11"/>
        <v>86</v>
      </c>
      <c r="AD30" s="50">
        <v>81</v>
      </c>
      <c r="AE30" s="50">
        <v>80</v>
      </c>
      <c r="AF30" s="397">
        <f t="shared" si="12"/>
        <v>80.5</v>
      </c>
      <c r="AG30" s="49"/>
      <c r="AH30" s="50"/>
      <c r="AI30" s="397" t="str">
        <f t="shared" si="13"/>
        <v/>
      </c>
      <c r="AJ30" s="50"/>
      <c r="AK30" s="50"/>
      <c r="AL30" s="397" t="str">
        <f t="shared" si="14"/>
        <v/>
      </c>
      <c r="AM30" s="396">
        <f t="shared" si="16"/>
        <v>81</v>
      </c>
      <c r="AN30" s="396">
        <f t="shared" si="16"/>
        <v>81.444444444444443</v>
      </c>
      <c r="AO30" s="396">
        <f t="shared" si="2"/>
        <v>731</v>
      </c>
      <c r="AP30" s="396">
        <f t="shared" si="15"/>
        <v>81.222222222222229</v>
      </c>
      <c r="AR30" s="35" t="str">
        <f t="shared" si="3"/>
        <v>Sembunyikan</v>
      </c>
    </row>
    <row r="31" spans="2:44">
      <c r="B31" s="7">
        <v>22</v>
      </c>
      <c r="C31" s="7" t="str">
        <f>'Data Siswa'!C25&amp;""</f>
        <v/>
      </c>
      <c r="D31" s="11" t="str">
        <f>'Data Siswa'!F25&amp;""</f>
        <v/>
      </c>
      <c r="E31" s="434"/>
      <c r="F31" s="50"/>
      <c r="G31" s="50"/>
      <c r="H31" s="397" t="str">
        <f t="shared" si="4"/>
        <v/>
      </c>
      <c r="I31" s="50"/>
      <c r="J31" s="50"/>
      <c r="K31" s="397" t="str">
        <f t="shared" si="5"/>
        <v/>
      </c>
      <c r="L31" s="50"/>
      <c r="M31" s="50"/>
      <c r="N31" s="397" t="str">
        <f t="shared" si="6"/>
        <v/>
      </c>
      <c r="O31" s="50"/>
      <c r="P31" s="50"/>
      <c r="Q31" s="397" t="str">
        <f t="shared" si="7"/>
        <v/>
      </c>
      <c r="R31" s="50"/>
      <c r="S31" s="50"/>
      <c r="T31" s="397" t="str">
        <f t="shared" si="8"/>
        <v/>
      </c>
      <c r="U31" s="50"/>
      <c r="V31" s="50"/>
      <c r="W31" s="397" t="str">
        <f t="shared" si="9"/>
        <v/>
      </c>
      <c r="X31" s="50"/>
      <c r="Y31" s="50"/>
      <c r="Z31" s="397" t="str">
        <f t="shared" si="10"/>
        <v/>
      </c>
      <c r="AA31" s="50"/>
      <c r="AB31" s="50"/>
      <c r="AC31" s="397" t="str">
        <f t="shared" si="11"/>
        <v/>
      </c>
      <c r="AD31" s="50"/>
      <c r="AE31" s="50"/>
      <c r="AF31" s="397" t="str">
        <f t="shared" si="12"/>
        <v/>
      </c>
      <c r="AG31" s="49"/>
      <c r="AH31" s="50"/>
      <c r="AI31" s="397" t="str">
        <f t="shared" si="13"/>
        <v/>
      </c>
      <c r="AJ31" s="50"/>
      <c r="AK31" s="50"/>
      <c r="AL31" s="397" t="str">
        <f t="shared" si="14"/>
        <v/>
      </c>
      <c r="AM31" s="396" t="str">
        <f t="shared" si="16"/>
        <v/>
      </c>
      <c r="AN31" s="396" t="str">
        <f t="shared" si="16"/>
        <v/>
      </c>
      <c r="AO31" s="396" t="str">
        <f t="shared" si="2"/>
        <v/>
      </c>
      <c r="AP31" s="396" t="str">
        <f t="shared" si="15"/>
        <v/>
      </c>
      <c r="AR31" s="35" t="str">
        <f t="shared" si="3"/>
        <v>Sembunyikan</v>
      </c>
    </row>
    <row r="32" spans="2:44">
      <c r="B32" s="7">
        <v>23</v>
      </c>
      <c r="C32" s="7" t="str">
        <f>'Data Siswa'!C26&amp;""</f>
        <v/>
      </c>
      <c r="D32" s="11" t="str">
        <f>'Data Siswa'!F26&amp;""</f>
        <v/>
      </c>
      <c r="E32" s="434"/>
      <c r="F32" s="50"/>
      <c r="G32" s="50"/>
      <c r="H32" s="397" t="str">
        <f t="shared" si="4"/>
        <v/>
      </c>
      <c r="I32" s="50"/>
      <c r="J32" s="50"/>
      <c r="K32" s="397" t="str">
        <f t="shared" si="5"/>
        <v/>
      </c>
      <c r="L32" s="50"/>
      <c r="M32" s="50"/>
      <c r="N32" s="397" t="str">
        <f t="shared" si="6"/>
        <v/>
      </c>
      <c r="O32" s="50"/>
      <c r="P32" s="50"/>
      <c r="Q32" s="397" t="str">
        <f t="shared" si="7"/>
        <v/>
      </c>
      <c r="R32" s="50"/>
      <c r="S32" s="50"/>
      <c r="T32" s="397" t="str">
        <f t="shared" si="8"/>
        <v/>
      </c>
      <c r="U32" s="50"/>
      <c r="V32" s="50"/>
      <c r="W32" s="397" t="str">
        <f t="shared" si="9"/>
        <v/>
      </c>
      <c r="X32" s="50"/>
      <c r="Y32" s="50"/>
      <c r="Z32" s="397" t="str">
        <f t="shared" si="10"/>
        <v/>
      </c>
      <c r="AA32" s="50"/>
      <c r="AB32" s="50"/>
      <c r="AC32" s="397" t="str">
        <f t="shared" si="11"/>
        <v/>
      </c>
      <c r="AD32" s="50"/>
      <c r="AE32" s="50"/>
      <c r="AF32" s="397" t="str">
        <f t="shared" si="12"/>
        <v/>
      </c>
      <c r="AG32" s="49"/>
      <c r="AH32" s="50"/>
      <c r="AI32" s="397" t="str">
        <f t="shared" si="13"/>
        <v/>
      </c>
      <c r="AJ32" s="50"/>
      <c r="AK32" s="50"/>
      <c r="AL32" s="397" t="str">
        <f t="shared" si="14"/>
        <v/>
      </c>
      <c r="AM32" s="396" t="str">
        <f t="shared" si="16"/>
        <v/>
      </c>
      <c r="AN32" s="396" t="str">
        <f t="shared" si="16"/>
        <v/>
      </c>
      <c r="AO32" s="396" t="str">
        <f t="shared" si="2"/>
        <v/>
      </c>
      <c r="AP32" s="396" t="str">
        <f t="shared" si="15"/>
        <v/>
      </c>
      <c r="AR32" s="35" t="str">
        <f t="shared" si="3"/>
        <v>Sembunyikan</v>
      </c>
    </row>
    <row r="33" spans="2:44">
      <c r="B33" s="7">
        <v>24</v>
      </c>
      <c r="C33" s="7" t="str">
        <f>'Data Siswa'!C27&amp;""</f>
        <v/>
      </c>
      <c r="D33" s="11" t="str">
        <f>'Data Siswa'!F27&amp;""</f>
        <v/>
      </c>
      <c r="E33" s="434"/>
      <c r="F33" s="50"/>
      <c r="G33" s="50"/>
      <c r="H33" s="397" t="str">
        <f t="shared" si="4"/>
        <v/>
      </c>
      <c r="I33" s="50"/>
      <c r="J33" s="50"/>
      <c r="K33" s="397" t="str">
        <f t="shared" si="5"/>
        <v/>
      </c>
      <c r="L33" s="50"/>
      <c r="M33" s="50"/>
      <c r="N33" s="397" t="str">
        <f t="shared" si="6"/>
        <v/>
      </c>
      <c r="O33" s="50"/>
      <c r="P33" s="50"/>
      <c r="Q33" s="397" t="str">
        <f t="shared" si="7"/>
        <v/>
      </c>
      <c r="R33" s="50"/>
      <c r="S33" s="50"/>
      <c r="T33" s="397" t="str">
        <f t="shared" si="8"/>
        <v/>
      </c>
      <c r="U33" s="50"/>
      <c r="V33" s="50"/>
      <c r="W33" s="397" t="str">
        <f t="shared" si="9"/>
        <v/>
      </c>
      <c r="X33" s="50"/>
      <c r="Y33" s="50"/>
      <c r="Z33" s="397" t="str">
        <f t="shared" si="10"/>
        <v/>
      </c>
      <c r="AA33" s="50"/>
      <c r="AB33" s="50"/>
      <c r="AC33" s="397" t="str">
        <f t="shared" si="11"/>
        <v/>
      </c>
      <c r="AD33" s="50"/>
      <c r="AE33" s="50"/>
      <c r="AF33" s="397" t="str">
        <f t="shared" si="12"/>
        <v/>
      </c>
      <c r="AG33" s="49"/>
      <c r="AH33" s="50"/>
      <c r="AI33" s="397" t="str">
        <f t="shared" si="13"/>
        <v/>
      </c>
      <c r="AJ33" s="50"/>
      <c r="AK33" s="50"/>
      <c r="AL33" s="397" t="str">
        <f t="shared" si="14"/>
        <v/>
      </c>
      <c r="AM33" s="396" t="str">
        <f t="shared" si="16"/>
        <v/>
      </c>
      <c r="AN33" s="396" t="str">
        <f t="shared" si="16"/>
        <v/>
      </c>
      <c r="AO33" s="396" t="str">
        <f t="shared" si="2"/>
        <v/>
      </c>
      <c r="AP33" s="396" t="str">
        <f t="shared" si="15"/>
        <v/>
      </c>
      <c r="AR33" s="35" t="str">
        <f t="shared" si="3"/>
        <v>Sembunyikan</v>
      </c>
    </row>
    <row r="34" spans="2:44">
      <c r="B34" s="7">
        <v>25</v>
      </c>
      <c r="C34" s="7" t="str">
        <f>'Data Siswa'!C28&amp;""</f>
        <v/>
      </c>
      <c r="D34" s="11" t="str">
        <f>'Data Siswa'!F28&amp;""</f>
        <v/>
      </c>
      <c r="E34" s="434"/>
      <c r="F34" s="50"/>
      <c r="G34" s="50"/>
      <c r="H34" s="397" t="str">
        <f t="shared" si="4"/>
        <v/>
      </c>
      <c r="I34" s="50"/>
      <c r="J34" s="50"/>
      <c r="K34" s="397" t="str">
        <f t="shared" si="5"/>
        <v/>
      </c>
      <c r="L34" s="50"/>
      <c r="M34" s="50"/>
      <c r="N34" s="397" t="str">
        <f t="shared" si="6"/>
        <v/>
      </c>
      <c r="O34" s="50"/>
      <c r="P34" s="50"/>
      <c r="Q34" s="397" t="str">
        <f t="shared" si="7"/>
        <v/>
      </c>
      <c r="R34" s="50"/>
      <c r="S34" s="50"/>
      <c r="T34" s="397" t="str">
        <f t="shared" si="8"/>
        <v/>
      </c>
      <c r="U34" s="50"/>
      <c r="V34" s="50"/>
      <c r="W34" s="397" t="str">
        <f t="shared" si="9"/>
        <v/>
      </c>
      <c r="X34" s="50"/>
      <c r="Y34" s="50"/>
      <c r="Z34" s="397" t="str">
        <f t="shared" si="10"/>
        <v/>
      </c>
      <c r="AA34" s="50"/>
      <c r="AB34" s="50"/>
      <c r="AC34" s="397" t="str">
        <f t="shared" si="11"/>
        <v/>
      </c>
      <c r="AD34" s="50"/>
      <c r="AE34" s="50"/>
      <c r="AF34" s="397" t="str">
        <f t="shared" si="12"/>
        <v/>
      </c>
      <c r="AG34" s="49"/>
      <c r="AH34" s="50"/>
      <c r="AI34" s="397" t="str">
        <f t="shared" si="13"/>
        <v/>
      </c>
      <c r="AJ34" s="50"/>
      <c r="AK34" s="50"/>
      <c r="AL34" s="397" t="str">
        <f t="shared" si="14"/>
        <v/>
      </c>
      <c r="AM34" s="396" t="str">
        <f t="shared" si="16"/>
        <v/>
      </c>
      <c r="AN34" s="396" t="str">
        <f t="shared" si="16"/>
        <v/>
      </c>
      <c r="AO34" s="396" t="str">
        <f t="shared" si="2"/>
        <v/>
      </c>
      <c r="AP34" s="396" t="str">
        <f t="shared" si="15"/>
        <v/>
      </c>
      <c r="AR34" s="35" t="str">
        <f t="shared" si="3"/>
        <v>Sembunyikan</v>
      </c>
    </row>
    <row r="35" spans="2:44">
      <c r="B35" s="7">
        <v>26</v>
      </c>
      <c r="C35" s="7" t="str">
        <f>'Data Siswa'!C29&amp;""</f>
        <v/>
      </c>
      <c r="D35" s="11" t="str">
        <f>'Data Siswa'!F29&amp;""</f>
        <v/>
      </c>
      <c r="E35" s="435"/>
      <c r="F35" s="50"/>
      <c r="G35" s="50"/>
      <c r="H35" s="397" t="str">
        <f t="shared" si="4"/>
        <v/>
      </c>
      <c r="I35" s="50"/>
      <c r="J35" s="50"/>
      <c r="K35" s="397" t="str">
        <f t="shared" si="5"/>
        <v/>
      </c>
      <c r="L35" s="50"/>
      <c r="M35" s="50"/>
      <c r="N35" s="397" t="str">
        <f t="shared" si="6"/>
        <v/>
      </c>
      <c r="O35" s="50"/>
      <c r="P35" s="50"/>
      <c r="Q35" s="397" t="str">
        <f t="shared" si="7"/>
        <v/>
      </c>
      <c r="R35" s="50"/>
      <c r="S35" s="50"/>
      <c r="T35" s="397" t="str">
        <f t="shared" si="8"/>
        <v/>
      </c>
      <c r="U35" s="50"/>
      <c r="V35" s="50"/>
      <c r="W35" s="397" t="str">
        <f t="shared" si="9"/>
        <v/>
      </c>
      <c r="X35" s="50"/>
      <c r="Y35" s="50"/>
      <c r="Z35" s="397" t="str">
        <f t="shared" si="10"/>
        <v/>
      </c>
      <c r="AA35" s="50"/>
      <c r="AB35" s="50"/>
      <c r="AC35" s="397" t="str">
        <f t="shared" si="11"/>
        <v/>
      </c>
      <c r="AD35" s="50"/>
      <c r="AE35" s="50"/>
      <c r="AF35" s="397" t="str">
        <f t="shared" si="12"/>
        <v/>
      </c>
      <c r="AG35" s="49"/>
      <c r="AH35" s="50"/>
      <c r="AI35" s="397" t="str">
        <f t="shared" si="13"/>
        <v/>
      </c>
      <c r="AJ35" s="50"/>
      <c r="AK35" s="50"/>
      <c r="AL35" s="397" t="str">
        <f t="shared" si="14"/>
        <v/>
      </c>
      <c r="AM35" s="396" t="str">
        <f t="shared" si="16"/>
        <v/>
      </c>
      <c r="AN35" s="396" t="str">
        <f t="shared" si="16"/>
        <v/>
      </c>
      <c r="AO35" s="396" t="str">
        <f t="shared" si="2"/>
        <v/>
      </c>
      <c r="AP35" s="396" t="str">
        <f t="shared" si="15"/>
        <v/>
      </c>
      <c r="AR35" s="35" t="str">
        <f t="shared" si="3"/>
        <v>Sembunyikan</v>
      </c>
    </row>
    <row r="36" spans="2:44">
      <c r="B36" s="7">
        <v>27</v>
      </c>
      <c r="C36" s="7" t="str">
        <f>'Data Siswa'!C30&amp;""</f>
        <v/>
      </c>
      <c r="D36" s="11" t="str">
        <f>'Data Siswa'!F30&amp;""</f>
        <v/>
      </c>
      <c r="E36" s="434"/>
      <c r="F36" s="50"/>
      <c r="G36" s="50"/>
      <c r="H36" s="397" t="str">
        <f t="shared" si="4"/>
        <v/>
      </c>
      <c r="I36" s="50"/>
      <c r="J36" s="50"/>
      <c r="K36" s="397" t="str">
        <f t="shared" si="5"/>
        <v/>
      </c>
      <c r="L36" s="50"/>
      <c r="M36" s="50"/>
      <c r="N36" s="397" t="str">
        <f t="shared" si="6"/>
        <v/>
      </c>
      <c r="O36" s="50"/>
      <c r="P36" s="50"/>
      <c r="Q36" s="397" t="str">
        <f t="shared" si="7"/>
        <v/>
      </c>
      <c r="R36" s="50"/>
      <c r="S36" s="50"/>
      <c r="T36" s="397" t="str">
        <f t="shared" si="8"/>
        <v/>
      </c>
      <c r="U36" s="50"/>
      <c r="V36" s="50"/>
      <c r="W36" s="397" t="str">
        <f t="shared" si="9"/>
        <v/>
      </c>
      <c r="X36" s="50"/>
      <c r="Y36" s="50"/>
      <c r="Z36" s="397" t="str">
        <f t="shared" si="10"/>
        <v/>
      </c>
      <c r="AA36" s="50"/>
      <c r="AB36" s="50"/>
      <c r="AC36" s="397" t="str">
        <f t="shared" si="11"/>
        <v/>
      </c>
      <c r="AD36" s="50"/>
      <c r="AE36" s="50"/>
      <c r="AF36" s="397" t="str">
        <f t="shared" si="12"/>
        <v/>
      </c>
      <c r="AG36" s="49"/>
      <c r="AH36" s="50"/>
      <c r="AI36" s="397" t="str">
        <f t="shared" si="13"/>
        <v/>
      </c>
      <c r="AJ36" s="50"/>
      <c r="AK36" s="50"/>
      <c r="AL36" s="397" t="str">
        <f t="shared" si="14"/>
        <v/>
      </c>
      <c r="AM36" s="396" t="str">
        <f t="shared" si="16"/>
        <v/>
      </c>
      <c r="AN36" s="396" t="str">
        <f t="shared" si="16"/>
        <v/>
      </c>
      <c r="AO36" s="396" t="str">
        <f t="shared" si="2"/>
        <v/>
      </c>
      <c r="AP36" s="396" t="str">
        <f t="shared" si="15"/>
        <v/>
      </c>
      <c r="AR36" s="35" t="str">
        <f t="shared" si="3"/>
        <v>Sembunyikan</v>
      </c>
    </row>
    <row r="37" spans="2:44">
      <c r="B37" s="7">
        <v>28</v>
      </c>
      <c r="C37" s="7" t="str">
        <f>'Data Siswa'!C31&amp;""</f>
        <v/>
      </c>
      <c r="D37" s="11" t="str">
        <f>'Data Siswa'!F31&amp;""</f>
        <v/>
      </c>
      <c r="E37" s="434"/>
      <c r="F37" s="50"/>
      <c r="G37" s="50"/>
      <c r="H37" s="397" t="str">
        <f t="shared" si="4"/>
        <v/>
      </c>
      <c r="I37" s="50"/>
      <c r="J37" s="50"/>
      <c r="K37" s="397" t="str">
        <f t="shared" si="5"/>
        <v/>
      </c>
      <c r="L37" s="50"/>
      <c r="M37" s="50"/>
      <c r="N37" s="397" t="str">
        <f t="shared" si="6"/>
        <v/>
      </c>
      <c r="O37" s="50"/>
      <c r="P37" s="50"/>
      <c r="Q37" s="397" t="str">
        <f t="shared" si="7"/>
        <v/>
      </c>
      <c r="R37" s="50"/>
      <c r="S37" s="50"/>
      <c r="T37" s="397" t="str">
        <f t="shared" si="8"/>
        <v/>
      </c>
      <c r="U37" s="50"/>
      <c r="V37" s="50"/>
      <c r="W37" s="397" t="str">
        <f t="shared" si="9"/>
        <v/>
      </c>
      <c r="X37" s="50"/>
      <c r="Y37" s="50"/>
      <c r="Z37" s="397" t="str">
        <f t="shared" si="10"/>
        <v/>
      </c>
      <c r="AA37" s="50"/>
      <c r="AB37" s="50"/>
      <c r="AC37" s="397" t="str">
        <f t="shared" si="11"/>
        <v/>
      </c>
      <c r="AD37" s="50"/>
      <c r="AE37" s="50"/>
      <c r="AF37" s="397" t="str">
        <f t="shared" si="12"/>
        <v/>
      </c>
      <c r="AG37" s="49"/>
      <c r="AH37" s="50"/>
      <c r="AI37" s="397" t="str">
        <f t="shared" si="13"/>
        <v/>
      </c>
      <c r="AJ37" s="50"/>
      <c r="AK37" s="50"/>
      <c r="AL37" s="397" t="str">
        <f t="shared" si="14"/>
        <v/>
      </c>
      <c r="AM37" s="396" t="str">
        <f t="shared" si="16"/>
        <v/>
      </c>
      <c r="AN37" s="396" t="str">
        <f t="shared" si="16"/>
        <v/>
      </c>
      <c r="AO37" s="396" t="str">
        <f t="shared" si="2"/>
        <v/>
      </c>
      <c r="AP37" s="396" t="str">
        <f t="shared" si="15"/>
        <v/>
      </c>
      <c r="AR37" s="35" t="str">
        <f t="shared" si="3"/>
        <v>Sembunyikan</v>
      </c>
    </row>
    <row r="38" spans="2:44">
      <c r="B38" s="7">
        <v>29</v>
      </c>
      <c r="C38" s="7" t="str">
        <f>'Data Siswa'!C32&amp;""</f>
        <v/>
      </c>
      <c r="D38" s="11" t="str">
        <f>'Data Siswa'!F32&amp;""</f>
        <v/>
      </c>
      <c r="E38" s="434"/>
      <c r="F38" s="50"/>
      <c r="G38" s="50"/>
      <c r="H38" s="397" t="str">
        <f t="shared" si="4"/>
        <v/>
      </c>
      <c r="I38" s="50"/>
      <c r="J38" s="50"/>
      <c r="K38" s="397" t="str">
        <f t="shared" si="5"/>
        <v/>
      </c>
      <c r="L38" s="50"/>
      <c r="M38" s="50"/>
      <c r="N38" s="397" t="str">
        <f t="shared" si="6"/>
        <v/>
      </c>
      <c r="O38" s="50"/>
      <c r="P38" s="50"/>
      <c r="Q38" s="397" t="str">
        <f t="shared" si="7"/>
        <v/>
      </c>
      <c r="R38" s="50"/>
      <c r="S38" s="50"/>
      <c r="T38" s="397" t="str">
        <f t="shared" si="8"/>
        <v/>
      </c>
      <c r="U38" s="50"/>
      <c r="V38" s="50"/>
      <c r="W38" s="397" t="str">
        <f t="shared" si="9"/>
        <v/>
      </c>
      <c r="X38" s="50"/>
      <c r="Y38" s="50"/>
      <c r="Z38" s="397" t="str">
        <f t="shared" si="10"/>
        <v/>
      </c>
      <c r="AA38" s="50"/>
      <c r="AB38" s="50"/>
      <c r="AC38" s="397" t="str">
        <f t="shared" si="11"/>
        <v/>
      </c>
      <c r="AD38" s="50"/>
      <c r="AE38" s="50"/>
      <c r="AF38" s="397" t="str">
        <f t="shared" si="12"/>
        <v/>
      </c>
      <c r="AG38" s="49"/>
      <c r="AH38" s="50"/>
      <c r="AI38" s="397" t="str">
        <f t="shared" si="13"/>
        <v/>
      </c>
      <c r="AJ38" s="50"/>
      <c r="AK38" s="50"/>
      <c r="AL38" s="397" t="str">
        <f t="shared" si="14"/>
        <v/>
      </c>
      <c r="AM38" s="396" t="str">
        <f t="shared" si="16"/>
        <v/>
      </c>
      <c r="AN38" s="396" t="str">
        <f t="shared" si="16"/>
        <v/>
      </c>
      <c r="AO38" s="396" t="str">
        <f t="shared" si="2"/>
        <v/>
      </c>
      <c r="AP38" s="396" t="str">
        <f t="shared" si="15"/>
        <v/>
      </c>
      <c r="AR38" s="35" t="str">
        <f t="shared" si="3"/>
        <v>Sembunyikan</v>
      </c>
    </row>
    <row r="39" spans="2:44">
      <c r="B39" s="7">
        <v>30</v>
      </c>
      <c r="C39" s="7" t="str">
        <f>'Data Siswa'!C33&amp;""</f>
        <v/>
      </c>
      <c r="D39" s="11" t="str">
        <f>'Data Siswa'!F33&amp;""</f>
        <v/>
      </c>
      <c r="E39" s="434"/>
      <c r="F39" s="50"/>
      <c r="G39" s="50"/>
      <c r="H39" s="397" t="str">
        <f t="shared" si="4"/>
        <v/>
      </c>
      <c r="I39" s="50"/>
      <c r="J39" s="50"/>
      <c r="K39" s="397" t="str">
        <f t="shared" si="5"/>
        <v/>
      </c>
      <c r="L39" s="50"/>
      <c r="M39" s="50"/>
      <c r="N39" s="397" t="str">
        <f t="shared" si="6"/>
        <v/>
      </c>
      <c r="O39" s="50"/>
      <c r="P39" s="50"/>
      <c r="Q39" s="397" t="str">
        <f t="shared" si="7"/>
        <v/>
      </c>
      <c r="R39" s="50"/>
      <c r="S39" s="50"/>
      <c r="T39" s="397" t="str">
        <f t="shared" si="8"/>
        <v/>
      </c>
      <c r="U39" s="50"/>
      <c r="V39" s="50"/>
      <c r="W39" s="397" t="str">
        <f t="shared" si="9"/>
        <v/>
      </c>
      <c r="X39" s="50"/>
      <c r="Y39" s="50"/>
      <c r="Z39" s="397" t="str">
        <f t="shared" si="10"/>
        <v/>
      </c>
      <c r="AA39" s="50"/>
      <c r="AB39" s="50"/>
      <c r="AC39" s="397" t="str">
        <f t="shared" si="11"/>
        <v/>
      </c>
      <c r="AD39" s="50"/>
      <c r="AE39" s="50"/>
      <c r="AF39" s="397" t="str">
        <f t="shared" si="12"/>
        <v/>
      </c>
      <c r="AG39" s="49"/>
      <c r="AH39" s="50"/>
      <c r="AI39" s="397" t="str">
        <f t="shared" si="13"/>
        <v/>
      </c>
      <c r="AJ39" s="50"/>
      <c r="AK39" s="50"/>
      <c r="AL39" s="397" t="str">
        <f t="shared" si="14"/>
        <v/>
      </c>
      <c r="AM39" s="396" t="str">
        <f t="shared" si="16"/>
        <v/>
      </c>
      <c r="AN39" s="396" t="str">
        <f t="shared" si="16"/>
        <v/>
      </c>
      <c r="AO39" s="396" t="str">
        <f t="shared" si="2"/>
        <v/>
      </c>
      <c r="AP39" s="396" t="str">
        <f t="shared" si="15"/>
        <v/>
      </c>
      <c r="AR39" s="35" t="str">
        <f t="shared" si="3"/>
        <v>Sembunyikan</v>
      </c>
    </row>
    <row r="40" spans="2:44">
      <c r="B40" s="7">
        <v>31</v>
      </c>
      <c r="C40" s="7" t="str">
        <f>'Data Siswa'!C34&amp;""</f>
        <v/>
      </c>
      <c r="D40" s="11" t="str">
        <f>'Data Siswa'!F34&amp;""</f>
        <v/>
      </c>
      <c r="E40" s="434"/>
      <c r="F40" s="50"/>
      <c r="G40" s="50"/>
      <c r="H40" s="397" t="str">
        <f t="shared" si="4"/>
        <v/>
      </c>
      <c r="I40" s="50"/>
      <c r="J40" s="50"/>
      <c r="K40" s="397" t="str">
        <f t="shared" si="5"/>
        <v/>
      </c>
      <c r="L40" s="50"/>
      <c r="M40" s="50"/>
      <c r="N40" s="397" t="str">
        <f t="shared" si="6"/>
        <v/>
      </c>
      <c r="O40" s="50"/>
      <c r="P40" s="50"/>
      <c r="Q40" s="397" t="str">
        <f t="shared" si="7"/>
        <v/>
      </c>
      <c r="R40" s="50"/>
      <c r="S40" s="50"/>
      <c r="T40" s="397" t="str">
        <f t="shared" si="8"/>
        <v/>
      </c>
      <c r="U40" s="50"/>
      <c r="V40" s="50"/>
      <c r="W40" s="397" t="str">
        <f t="shared" si="9"/>
        <v/>
      </c>
      <c r="X40" s="50"/>
      <c r="Y40" s="50"/>
      <c r="Z40" s="397" t="str">
        <f t="shared" si="10"/>
        <v/>
      </c>
      <c r="AA40" s="50"/>
      <c r="AB40" s="50"/>
      <c r="AC40" s="397" t="str">
        <f t="shared" si="11"/>
        <v/>
      </c>
      <c r="AD40" s="50"/>
      <c r="AE40" s="50"/>
      <c r="AF40" s="397" t="str">
        <f t="shared" si="12"/>
        <v/>
      </c>
      <c r="AG40" s="49"/>
      <c r="AH40" s="50"/>
      <c r="AI40" s="397" t="str">
        <f t="shared" si="13"/>
        <v/>
      </c>
      <c r="AJ40" s="50"/>
      <c r="AK40" s="50"/>
      <c r="AL40" s="397" t="str">
        <f t="shared" si="14"/>
        <v/>
      </c>
      <c r="AM40" s="396" t="str">
        <f t="shared" si="16"/>
        <v/>
      </c>
      <c r="AN40" s="396" t="str">
        <f t="shared" si="16"/>
        <v/>
      </c>
      <c r="AO40" s="396" t="str">
        <f t="shared" si="2"/>
        <v/>
      </c>
      <c r="AP40" s="396" t="str">
        <f t="shared" si="15"/>
        <v/>
      </c>
      <c r="AR40" s="35" t="str">
        <f t="shared" si="3"/>
        <v>Sembunyikan</v>
      </c>
    </row>
    <row r="41" spans="2:44">
      <c r="B41" s="7">
        <v>32</v>
      </c>
      <c r="C41" s="7" t="str">
        <f>'Data Siswa'!C35&amp;""</f>
        <v/>
      </c>
      <c r="D41" s="11" t="str">
        <f>'Data Siswa'!F35&amp;""</f>
        <v/>
      </c>
      <c r="E41" s="434"/>
      <c r="F41" s="50"/>
      <c r="G41" s="50"/>
      <c r="H41" s="397" t="str">
        <f t="shared" si="4"/>
        <v/>
      </c>
      <c r="I41" s="50"/>
      <c r="J41" s="50"/>
      <c r="K41" s="397" t="str">
        <f t="shared" si="5"/>
        <v/>
      </c>
      <c r="L41" s="50"/>
      <c r="M41" s="50"/>
      <c r="N41" s="397" t="str">
        <f t="shared" si="6"/>
        <v/>
      </c>
      <c r="O41" s="50"/>
      <c r="P41" s="50"/>
      <c r="Q41" s="397" t="str">
        <f t="shared" si="7"/>
        <v/>
      </c>
      <c r="R41" s="50"/>
      <c r="S41" s="50"/>
      <c r="T41" s="397" t="str">
        <f t="shared" si="8"/>
        <v/>
      </c>
      <c r="U41" s="50"/>
      <c r="V41" s="50"/>
      <c r="W41" s="397" t="str">
        <f t="shared" si="9"/>
        <v/>
      </c>
      <c r="X41" s="50"/>
      <c r="Y41" s="50"/>
      <c r="Z41" s="397" t="str">
        <f t="shared" si="10"/>
        <v/>
      </c>
      <c r="AA41" s="50"/>
      <c r="AB41" s="50"/>
      <c r="AC41" s="397" t="str">
        <f t="shared" si="11"/>
        <v/>
      </c>
      <c r="AD41" s="50"/>
      <c r="AE41" s="50"/>
      <c r="AF41" s="397" t="str">
        <f t="shared" si="12"/>
        <v/>
      </c>
      <c r="AG41" s="49"/>
      <c r="AH41" s="50"/>
      <c r="AI41" s="397" t="str">
        <f t="shared" si="13"/>
        <v/>
      </c>
      <c r="AJ41" s="50"/>
      <c r="AK41" s="50"/>
      <c r="AL41" s="397" t="str">
        <f t="shared" si="14"/>
        <v/>
      </c>
      <c r="AM41" s="396" t="str">
        <f t="shared" si="16"/>
        <v/>
      </c>
      <c r="AN41" s="396" t="str">
        <f t="shared" si="16"/>
        <v/>
      </c>
      <c r="AO41" s="396" t="str">
        <f t="shared" si="2"/>
        <v/>
      </c>
      <c r="AP41" s="396" t="str">
        <f t="shared" si="15"/>
        <v/>
      </c>
      <c r="AR41" s="35" t="str">
        <f t="shared" si="3"/>
        <v>Sembunyikan</v>
      </c>
    </row>
    <row r="42" spans="2:44">
      <c r="B42" s="7">
        <v>33</v>
      </c>
      <c r="C42" s="7" t="str">
        <f>'Data Siswa'!C36&amp;""</f>
        <v/>
      </c>
      <c r="D42" s="11" t="str">
        <f>'Data Siswa'!F36&amp;""</f>
        <v/>
      </c>
      <c r="E42" s="434"/>
      <c r="F42" s="50"/>
      <c r="G42" s="50"/>
      <c r="H42" s="397" t="str">
        <f t="shared" si="4"/>
        <v/>
      </c>
      <c r="I42" s="50"/>
      <c r="J42" s="50"/>
      <c r="K42" s="397" t="str">
        <f t="shared" si="5"/>
        <v/>
      </c>
      <c r="L42" s="50"/>
      <c r="M42" s="50"/>
      <c r="N42" s="397" t="str">
        <f t="shared" si="6"/>
        <v/>
      </c>
      <c r="O42" s="50"/>
      <c r="P42" s="50"/>
      <c r="Q42" s="397" t="str">
        <f t="shared" si="7"/>
        <v/>
      </c>
      <c r="R42" s="50"/>
      <c r="S42" s="50"/>
      <c r="T42" s="397" t="str">
        <f t="shared" si="8"/>
        <v/>
      </c>
      <c r="U42" s="50"/>
      <c r="V42" s="50"/>
      <c r="W42" s="397" t="str">
        <f t="shared" si="9"/>
        <v/>
      </c>
      <c r="X42" s="50"/>
      <c r="Y42" s="50"/>
      <c r="Z42" s="397" t="str">
        <f t="shared" si="10"/>
        <v/>
      </c>
      <c r="AA42" s="50"/>
      <c r="AB42" s="50"/>
      <c r="AC42" s="397" t="str">
        <f t="shared" si="11"/>
        <v/>
      </c>
      <c r="AD42" s="50"/>
      <c r="AE42" s="50"/>
      <c r="AF42" s="397" t="str">
        <f t="shared" si="12"/>
        <v/>
      </c>
      <c r="AG42" s="49"/>
      <c r="AH42" s="50"/>
      <c r="AI42" s="397" t="str">
        <f t="shared" si="13"/>
        <v/>
      </c>
      <c r="AJ42" s="50"/>
      <c r="AK42" s="50"/>
      <c r="AL42" s="397" t="str">
        <f t="shared" si="14"/>
        <v/>
      </c>
      <c r="AM42" s="396" t="str">
        <f t="shared" si="16"/>
        <v/>
      </c>
      <c r="AN42" s="396" t="str">
        <f t="shared" si="16"/>
        <v/>
      </c>
      <c r="AO42" s="396" t="str">
        <f t="shared" si="2"/>
        <v/>
      </c>
      <c r="AP42" s="396" t="str">
        <f t="shared" si="15"/>
        <v/>
      </c>
      <c r="AR42" s="35" t="str">
        <f t="shared" ref="AR42:AR59" si="17">IF(D42="","Sembunyikan","Data")</f>
        <v>Sembunyikan</v>
      </c>
    </row>
    <row r="43" spans="2:44">
      <c r="B43" s="7">
        <v>34</v>
      </c>
      <c r="C43" s="7" t="str">
        <f>'Data Siswa'!C37&amp;""</f>
        <v/>
      </c>
      <c r="D43" s="11" t="str">
        <f>'Data Siswa'!F37&amp;""</f>
        <v/>
      </c>
      <c r="E43" s="434"/>
      <c r="F43" s="50"/>
      <c r="G43" s="50"/>
      <c r="H43" s="397" t="str">
        <f t="shared" si="4"/>
        <v/>
      </c>
      <c r="I43" s="50"/>
      <c r="J43" s="50"/>
      <c r="K43" s="397" t="str">
        <f t="shared" si="5"/>
        <v/>
      </c>
      <c r="L43" s="50"/>
      <c r="M43" s="50"/>
      <c r="N43" s="397" t="str">
        <f t="shared" si="6"/>
        <v/>
      </c>
      <c r="O43" s="50"/>
      <c r="P43" s="50"/>
      <c r="Q43" s="397" t="str">
        <f t="shared" si="7"/>
        <v/>
      </c>
      <c r="R43" s="50"/>
      <c r="S43" s="50"/>
      <c r="T43" s="397" t="str">
        <f t="shared" si="8"/>
        <v/>
      </c>
      <c r="U43" s="50"/>
      <c r="V43" s="50"/>
      <c r="W43" s="397" t="str">
        <f t="shared" si="9"/>
        <v/>
      </c>
      <c r="X43" s="50"/>
      <c r="Y43" s="50"/>
      <c r="Z43" s="397" t="str">
        <f t="shared" si="10"/>
        <v/>
      </c>
      <c r="AA43" s="50"/>
      <c r="AB43" s="50"/>
      <c r="AC43" s="397" t="str">
        <f t="shared" si="11"/>
        <v/>
      </c>
      <c r="AD43" s="50"/>
      <c r="AE43" s="50"/>
      <c r="AF43" s="397" t="str">
        <f t="shared" si="12"/>
        <v/>
      </c>
      <c r="AG43" s="49"/>
      <c r="AH43" s="50"/>
      <c r="AI43" s="397" t="str">
        <f t="shared" si="13"/>
        <v/>
      </c>
      <c r="AJ43" s="50"/>
      <c r="AK43" s="50"/>
      <c r="AL43" s="397" t="str">
        <f t="shared" si="14"/>
        <v/>
      </c>
      <c r="AM43" s="396" t="str">
        <f t="shared" si="16"/>
        <v/>
      </c>
      <c r="AN43" s="396" t="str">
        <f t="shared" si="16"/>
        <v/>
      </c>
      <c r="AO43" s="396" t="str">
        <f t="shared" si="2"/>
        <v/>
      </c>
      <c r="AP43" s="396" t="str">
        <f t="shared" si="15"/>
        <v/>
      </c>
      <c r="AR43" s="35" t="str">
        <f t="shared" si="17"/>
        <v>Sembunyikan</v>
      </c>
    </row>
    <row r="44" spans="2:44">
      <c r="B44" s="7">
        <v>35</v>
      </c>
      <c r="C44" s="7" t="str">
        <f>'Data Siswa'!C38&amp;""</f>
        <v/>
      </c>
      <c r="D44" s="11" t="str">
        <f>'Data Siswa'!F38&amp;""</f>
        <v/>
      </c>
      <c r="E44" s="434"/>
      <c r="F44" s="50"/>
      <c r="G44" s="50"/>
      <c r="H44" s="397" t="str">
        <f t="shared" si="4"/>
        <v/>
      </c>
      <c r="I44" s="50"/>
      <c r="J44" s="50"/>
      <c r="K44" s="397" t="str">
        <f t="shared" si="5"/>
        <v/>
      </c>
      <c r="L44" s="50"/>
      <c r="M44" s="50"/>
      <c r="N44" s="397" t="str">
        <f t="shared" si="6"/>
        <v/>
      </c>
      <c r="O44" s="50"/>
      <c r="P44" s="50"/>
      <c r="Q44" s="397" t="str">
        <f t="shared" si="7"/>
        <v/>
      </c>
      <c r="R44" s="50"/>
      <c r="S44" s="50"/>
      <c r="T44" s="397" t="str">
        <f t="shared" si="8"/>
        <v/>
      </c>
      <c r="U44" s="50"/>
      <c r="V44" s="50"/>
      <c r="W44" s="397" t="str">
        <f t="shared" si="9"/>
        <v/>
      </c>
      <c r="X44" s="50"/>
      <c r="Y44" s="50"/>
      <c r="Z44" s="397" t="str">
        <f t="shared" si="10"/>
        <v/>
      </c>
      <c r="AA44" s="50"/>
      <c r="AB44" s="50"/>
      <c r="AC44" s="397" t="str">
        <f t="shared" si="11"/>
        <v/>
      </c>
      <c r="AD44" s="50"/>
      <c r="AE44" s="50"/>
      <c r="AF44" s="397" t="str">
        <f t="shared" si="12"/>
        <v/>
      </c>
      <c r="AG44" s="49"/>
      <c r="AH44" s="50"/>
      <c r="AI44" s="397" t="str">
        <f t="shared" si="13"/>
        <v/>
      </c>
      <c r="AJ44" s="50"/>
      <c r="AK44" s="50"/>
      <c r="AL44" s="397" t="str">
        <f t="shared" si="14"/>
        <v/>
      </c>
      <c r="AM44" s="396" t="str">
        <f t="shared" si="16"/>
        <v/>
      </c>
      <c r="AN44" s="396" t="str">
        <f t="shared" si="16"/>
        <v/>
      </c>
      <c r="AO44" s="396" t="str">
        <f t="shared" si="2"/>
        <v/>
      </c>
      <c r="AP44" s="396" t="str">
        <f t="shared" si="15"/>
        <v/>
      </c>
      <c r="AR44" s="35" t="str">
        <f t="shared" si="17"/>
        <v>Sembunyikan</v>
      </c>
    </row>
    <row r="45" spans="2:44">
      <c r="B45" s="7">
        <v>36</v>
      </c>
      <c r="C45" s="7" t="str">
        <f>'Data Siswa'!C39&amp;""</f>
        <v/>
      </c>
      <c r="D45" s="11" t="str">
        <f>'Data Siswa'!F39&amp;""</f>
        <v/>
      </c>
      <c r="E45" s="434"/>
      <c r="F45" s="50"/>
      <c r="G45" s="50"/>
      <c r="H45" s="397" t="str">
        <f t="shared" si="4"/>
        <v/>
      </c>
      <c r="I45" s="50"/>
      <c r="J45" s="50"/>
      <c r="K45" s="397" t="str">
        <f t="shared" si="5"/>
        <v/>
      </c>
      <c r="L45" s="50"/>
      <c r="M45" s="50"/>
      <c r="N45" s="397" t="str">
        <f t="shared" si="6"/>
        <v/>
      </c>
      <c r="O45" s="50"/>
      <c r="P45" s="50"/>
      <c r="Q45" s="397" t="str">
        <f t="shared" si="7"/>
        <v/>
      </c>
      <c r="R45" s="50"/>
      <c r="S45" s="50"/>
      <c r="T45" s="397" t="str">
        <f t="shared" si="8"/>
        <v/>
      </c>
      <c r="U45" s="50"/>
      <c r="V45" s="50"/>
      <c r="W45" s="397" t="str">
        <f t="shared" si="9"/>
        <v/>
      </c>
      <c r="X45" s="50"/>
      <c r="Y45" s="50"/>
      <c r="Z45" s="397" t="str">
        <f t="shared" si="10"/>
        <v/>
      </c>
      <c r="AA45" s="50"/>
      <c r="AB45" s="50"/>
      <c r="AC45" s="397" t="str">
        <f t="shared" si="11"/>
        <v/>
      </c>
      <c r="AD45" s="50"/>
      <c r="AE45" s="50"/>
      <c r="AF45" s="397" t="str">
        <f t="shared" si="12"/>
        <v/>
      </c>
      <c r="AG45" s="49"/>
      <c r="AH45" s="50"/>
      <c r="AI45" s="397" t="str">
        <f t="shared" si="13"/>
        <v/>
      </c>
      <c r="AJ45" s="50"/>
      <c r="AK45" s="50"/>
      <c r="AL45" s="397" t="str">
        <f t="shared" si="14"/>
        <v/>
      </c>
      <c r="AM45" s="396" t="str">
        <f t="shared" si="16"/>
        <v/>
      </c>
      <c r="AN45" s="396" t="str">
        <f t="shared" si="16"/>
        <v/>
      </c>
      <c r="AO45" s="396" t="str">
        <f t="shared" si="2"/>
        <v/>
      </c>
      <c r="AP45" s="396" t="str">
        <f t="shared" si="15"/>
        <v/>
      </c>
      <c r="AR45" s="35" t="str">
        <f t="shared" si="17"/>
        <v>Sembunyikan</v>
      </c>
    </row>
    <row r="46" spans="2:44">
      <c r="B46" s="7">
        <v>37</v>
      </c>
      <c r="C46" s="7" t="str">
        <f>'Data Siswa'!C40&amp;""</f>
        <v/>
      </c>
      <c r="D46" s="11" t="str">
        <f>'Data Siswa'!F40&amp;""</f>
        <v/>
      </c>
      <c r="E46" s="434"/>
      <c r="F46" s="50"/>
      <c r="G46" s="50"/>
      <c r="H46" s="397" t="str">
        <f t="shared" si="4"/>
        <v/>
      </c>
      <c r="I46" s="50"/>
      <c r="J46" s="50"/>
      <c r="K46" s="397" t="str">
        <f t="shared" si="5"/>
        <v/>
      </c>
      <c r="L46" s="50"/>
      <c r="M46" s="50"/>
      <c r="N46" s="397" t="str">
        <f t="shared" si="6"/>
        <v/>
      </c>
      <c r="O46" s="50"/>
      <c r="P46" s="50"/>
      <c r="Q46" s="397" t="str">
        <f t="shared" si="7"/>
        <v/>
      </c>
      <c r="R46" s="50"/>
      <c r="S46" s="50"/>
      <c r="T46" s="397" t="str">
        <f t="shared" si="8"/>
        <v/>
      </c>
      <c r="U46" s="50"/>
      <c r="V46" s="50"/>
      <c r="W46" s="397" t="str">
        <f t="shared" si="9"/>
        <v/>
      </c>
      <c r="X46" s="50"/>
      <c r="Y46" s="50"/>
      <c r="Z46" s="397" t="str">
        <f t="shared" si="10"/>
        <v/>
      </c>
      <c r="AA46" s="50"/>
      <c r="AB46" s="50"/>
      <c r="AC46" s="397" t="str">
        <f t="shared" si="11"/>
        <v/>
      </c>
      <c r="AD46" s="50"/>
      <c r="AE46" s="50"/>
      <c r="AF46" s="397" t="str">
        <f t="shared" si="12"/>
        <v/>
      </c>
      <c r="AG46" s="49"/>
      <c r="AH46" s="50"/>
      <c r="AI46" s="397" t="str">
        <f t="shared" si="13"/>
        <v/>
      </c>
      <c r="AJ46" s="50"/>
      <c r="AK46" s="50"/>
      <c r="AL46" s="397" t="str">
        <f t="shared" si="14"/>
        <v/>
      </c>
      <c r="AM46" s="396" t="str">
        <f t="shared" si="16"/>
        <v/>
      </c>
      <c r="AN46" s="396" t="str">
        <f t="shared" si="16"/>
        <v/>
      </c>
      <c r="AO46" s="396" t="str">
        <f t="shared" si="2"/>
        <v/>
      </c>
      <c r="AP46" s="396" t="str">
        <f t="shared" si="15"/>
        <v/>
      </c>
      <c r="AR46" s="35" t="str">
        <f t="shared" si="17"/>
        <v>Sembunyikan</v>
      </c>
    </row>
    <row r="47" spans="2:44">
      <c r="B47" s="7">
        <v>38</v>
      </c>
      <c r="C47" s="7" t="str">
        <f>'Data Siswa'!C41&amp;""</f>
        <v/>
      </c>
      <c r="D47" s="11" t="str">
        <f>'Data Siswa'!F41&amp;""</f>
        <v/>
      </c>
      <c r="E47" s="434"/>
      <c r="F47" s="50"/>
      <c r="G47" s="50"/>
      <c r="H47" s="397" t="str">
        <f t="shared" si="4"/>
        <v/>
      </c>
      <c r="I47" s="50"/>
      <c r="J47" s="50"/>
      <c r="K47" s="397" t="str">
        <f t="shared" si="5"/>
        <v/>
      </c>
      <c r="L47" s="50"/>
      <c r="M47" s="50"/>
      <c r="N47" s="397" t="str">
        <f t="shared" si="6"/>
        <v/>
      </c>
      <c r="O47" s="50"/>
      <c r="P47" s="50"/>
      <c r="Q47" s="397" t="str">
        <f t="shared" si="7"/>
        <v/>
      </c>
      <c r="R47" s="50"/>
      <c r="S47" s="50"/>
      <c r="T47" s="397" t="str">
        <f t="shared" si="8"/>
        <v/>
      </c>
      <c r="U47" s="50"/>
      <c r="V47" s="50"/>
      <c r="W47" s="397" t="str">
        <f t="shared" si="9"/>
        <v/>
      </c>
      <c r="X47" s="50"/>
      <c r="Y47" s="50"/>
      <c r="Z47" s="397" t="str">
        <f t="shared" si="10"/>
        <v/>
      </c>
      <c r="AA47" s="50"/>
      <c r="AB47" s="50"/>
      <c r="AC47" s="397" t="str">
        <f t="shared" si="11"/>
        <v/>
      </c>
      <c r="AD47" s="50"/>
      <c r="AE47" s="50"/>
      <c r="AF47" s="397" t="str">
        <f t="shared" si="12"/>
        <v/>
      </c>
      <c r="AG47" s="49"/>
      <c r="AH47" s="50"/>
      <c r="AI47" s="397" t="str">
        <f t="shared" si="13"/>
        <v/>
      </c>
      <c r="AJ47" s="50"/>
      <c r="AK47" s="50"/>
      <c r="AL47" s="397" t="str">
        <f t="shared" si="14"/>
        <v/>
      </c>
      <c r="AM47" s="396" t="str">
        <f t="shared" si="16"/>
        <v/>
      </c>
      <c r="AN47" s="396" t="str">
        <f t="shared" si="16"/>
        <v/>
      </c>
      <c r="AO47" s="396" t="str">
        <f t="shared" si="2"/>
        <v/>
      </c>
      <c r="AP47" s="396" t="str">
        <f t="shared" si="15"/>
        <v/>
      </c>
      <c r="AR47" s="35" t="str">
        <f t="shared" si="17"/>
        <v>Sembunyikan</v>
      </c>
    </row>
    <row r="48" spans="2:44">
      <c r="B48" s="7">
        <v>39</v>
      </c>
      <c r="C48" s="7" t="str">
        <f>'Data Siswa'!C42&amp;""</f>
        <v/>
      </c>
      <c r="D48" s="11" t="str">
        <f>'Data Siswa'!F42&amp;""</f>
        <v/>
      </c>
      <c r="E48" s="434"/>
      <c r="F48" s="50"/>
      <c r="G48" s="50"/>
      <c r="H48" s="397" t="str">
        <f t="shared" si="4"/>
        <v/>
      </c>
      <c r="I48" s="50"/>
      <c r="J48" s="50"/>
      <c r="K48" s="397" t="str">
        <f t="shared" si="5"/>
        <v/>
      </c>
      <c r="L48" s="50"/>
      <c r="M48" s="50"/>
      <c r="N48" s="397" t="str">
        <f t="shared" si="6"/>
        <v/>
      </c>
      <c r="O48" s="50"/>
      <c r="P48" s="50"/>
      <c r="Q48" s="397" t="str">
        <f t="shared" si="7"/>
        <v/>
      </c>
      <c r="R48" s="50"/>
      <c r="S48" s="50"/>
      <c r="T48" s="397" t="str">
        <f t="shared" si="8"/>
        <v/>
      </c>
      <c r="U48" s="50"/>
      <c r="V48" s="50"/>
      <c r="W48" s="397" t="str">
        <f t="shared" si="9"/>
        <v/>
      </c>
      <c r="X48" s="50"/>
      <c r="Y48" s="50"/>
      <c r="Z48" s="397" t="str">
        <f t="shared" si="10"/>
        <v/>
      </c>
      <c r="AA48" s="50"/>
      <c r="AB48" s="50"/>
      <c r="AC48" s="397" t="str">
        <f t="shared" si="11"/>
        <v/>
      </c>
      <c r="AD48" s="50"/>
      <c r="AE48" s="50"/>
      <c r="AF48" s="397" t="str">
        <f t="shared" si="12"/>
        <v/>
      </c>
      <c r="AG48" s="49"/>
      <c r="AH48" s="50"/>
      <c r="AI48" s="397" t="str">
        <f t="shared" si="13"/>
        <v/>
      </c>
      <c r="AJ48" s="50"/>
      <c r="AK48" s="50"/>
      <c r="AL48" s="397" t="str">
        <f t="shared" si="14"/>
        <v/>
      </c>
      <c r="AM48" s="396" t="str">
        <f t="shared" si="16"/>
        <v/>
      </c>
      <c r="AN48" s="396" t="str">
        <f t="shared" si="16"/>
        <v/>
      </c>
      <c r="AO48" s="396" t="str">
        <f t="shared" si="2"/>
        <v/>
      </c>
      <c r="AP48" s="396" t="str">
        <f t="shared" si="15"/>
        <v/>
      </c>
      <c r="AR48" s="35" t="str">
        <f t="shared" si="17"/>
        <v>Sembunyikan</v>
      </c>
    </row>
    <row r="49" spans="2:44">
      <c r="B49" s="7">
        <v>40</v>
      </c>
      <c r="C49" s="7" t="str">
        <f>'Data Siswa'!C43&amp;""</f>
        <v/>
      </c>
      <c r="D49" s="11" t="str">
        <f>'Data Siswa'!F43&amp;""</f>
        <v/>
      </c>
      <c r="E49" s="434"/>
      <c r="F49" s="50"/>
      <c r="G49" s="50"/>
      <c r="H49" s="397" t="str">
        <f t="shared" si="4"/>
        <v/>
      </c>
      <c r="I49" s="50"/>
      <c r="J49" s="50"/>
      <c r="K49" s="397" t="str">
        <f t="shared" si="5"/>
        <v/>
      </c>
      <c r="L49" s="50"/>
      <c r="M49" s="50"/>
      <c r="N49" s="397" t="str">
        <f t="shared" si="6"/>
        <v/>
      </c>
      <c r="O49" s="50"/>
      <c r="P49" s="50"/>
      <c r="Q49" s="397" t="str">
        <f t="shared" si="7"/>
        <v/>
      </c>
      <c r="R49" s="50"/>
      <c r="S49" s="50"/>
      <c r="T49" s="397" t="str">
        <f t="shared" si="8"/>
        <v/>
      </c>
      <c r="U49" s="50"/>
      <c r="V49" s="50"/>
      <c r="W49" s="397" t="str">
        <f t="shared" si="9"/>
        <v/>
      </c>
      <c r="X49" s="50"/>
      <c r="Y49" s="50"/>
      <c r="Z49" s="397" t="str">
        <f t="shared" si="10"/>
        <v/>
      </c>
      <c r="AA49" s="50"/>
      <c r="AB49" s="50"/>
      <c r="AC49" s="397" t="str">
        <f t="shared" si="11"/>
        <v/>
      </c>
      <c r="AD49" s="50"/>
      <c r="AE49" s="50"/>
      <c r="AF49" s="397" t="str">
        <f t="shared" si="12"/>
        <v/>
      </c>
      <c r="AG49" s="49"/>
      <c r="AH49" s="50"/>
      <c r="AI49" s="397" t="str">
        <f t="shared" si="13"/>
        <v/>
      </c>
      <c r="AJ49" s="50"/>
      <c r="AK49" s="50"/>
      <c r="AL49" s="397" t="str">
        <f t="shared" si="14"/>
        <v/>
      </c>
      <c r="AM49" s="396" t="str">
        <f t="shared" si="16"/>
        <v/>
      </c>
      <c r="AN49" s="396" t="str">
        <f t="shared" si="16"/>
        <v/>
      </c>
      <c r="AO49" s="396" t="str">
        <f t="shared" si="2"/>
        <v/>
      </c>
      <c r="AP49" s="396" t="str">
        <f t="shared" si="15"/>
        <v/>
      </c>
      <c r="AR49" s="35" t="str">
        <f t="shared" si="17"/>
        <v>Sembunyikan</v>
      </c>
    </row>
    <row r="50" spans="2:44">
      <c r="B50" s="7">
        <v>41</v>
      </c>
      <c r="C50" s="7" t="str">
        <f>'Data Siswa'!C44&amp;""</f>
        <v/>
      </c>
      <c r="D50" s="11" t="str">
        <f>'Data Siswa'!F44&amp;""</f>
        <v/>
      </c>
      <c r="E50" s="434"/>
      <c r="F50" s="50"/>
      <c r="G50" s="50"/>
      <c r="H50" s="397" t="str">
        <f t="shared" si="4"/>
        <v/>
      </c>
      <c r="I50" s="50"/>
      <c r="J50" s="50"/>
      <c r="K50" s="397" t="str">
        <f t="shared" si="5"/>
        <v/>
      </c>
      <c r="L50" s="50"/>
      <c r="M50" s="50"/>
      <c r="N50" s="397" t="str">
        <f t="shared" si="6"/>
        <v/>
      </c>
      <c r="O50" s="50"/>
      <c r="P50" s="50"/>
      <c r="Q50" s="397" t="str">
        <f t="shared" si="7"/>
        <v/>
      </c>
      <c r="R50" s="50"/>
      <c r="S50" s="50"/>
      <c r="T50" s="397" t="str">
        <f t="shared" si="8"/>
        <v/>
      </c>
      <c r="U50" s="50"/>
      <c r="V50" s="50"/>
      <c r="W50" s="397" t="str">
        <f t="shared" si="9"/>
        <v/>
      </c>
      <c r="X50" s="50"/>
      <c r="Y50" s="50"/>
      <c r="Z50" s="397" t="str">
        <f t="shared" si="10"/>
        <v/>
      </c>
      <c r="AA50" s="50"/>
      <c r="AB50" s="50"/>
      <c r="AC50" s="397" t="str">
        <f t="shared" si="11"/>
        <v/>
      </c>
      <c r="AD50" s="50"/>
      <c r="AE50" s="50"/>
      <c r="AF50" s="397" t="str">
        <f t="shared" si="12"/>
        <v/>
      </c>
      <c r="AG50" s="49"/>
      <c r="AH50" s="50"/>
      <c r="AI50" s="397" t="str">
        <f t="shared" si="13"/>
        <v/>
      </c>
      <c r="AJ50" s="50"/>
      <c r="AK50" s="50"/>
      <c r="AL50" s="397" t="str">
        <f t="shared" si="14"/>
        <v/>
      </c>
      <c r="AM50" s="396" t="str">
        <f t="shared" si="16"/>
        <v/>
      </c>
      <c r="AN50" s="396" t="str">
        <f t="shared" si="16"/>
        <v/>
      </c>
      <c r="AO50" s="396" t="str">
        <f t="shared" si="2"/>
        <v/>
      </c>
      <c r="AP50" s="396" t="str">
        <f t="shared" si="15"/>
        <v/>
      </c>
      <c r="AR50" s="35" t="str">
        <f t="shared" si="17"/>
        <v>Sembunyikan</v>
      </c>
    </row>
    <row r="51" spans="2:44">
      <c r="B51" s="7">
        <v>42</v>
      </c>
      <c r="C51" s="7" t="str">
        <f>'Data Siswa'!C45&amp;""</f>
        <v/>
      </c>
      <c r="D51" s="11" t="str">
        <f>'Data Siswa'!F45&amp;""</f>
        <v/>
      </c>
      <c r="E51" s="434"/>
      <c r="F51" s="50"/>
      <c r="G51" s="50"/>
      <c r="H51" s="397" t="str">
        <f t="shared" si="4"/>
        <v/>
      </c>
      <c r="I51" s="50"/>
      <c r="J51" s="50"/>
      <c r="K51" s="397" t="str">
        <f t="shared" si="5"/>
        <v/>
      </c>
      <c r="L51" s="50"/>
      <c r="M51" s="50"/>
      <c r="N51" s="397" t="str">
        <f t="shared" si="6"/>
        <v/>
      </c>
      <c r="O51" s="50"/>
      <c r="P51" s="50"/>
      <c r="Q51" s="397" t="str">
        <f t="shared" si="7"/>
        <v/>
      </c>
      <c r="R51" s="50"/>
      <c r="S51" s="50"/>
      <c r="T51" s="397" t="str">
        <f t="shared" si="8"/>
        <v/>
      </c>
      <c r="U51" s="50"/>
      <c r="V51" s="50"/>
      <c r="W51" s="397" t="str">
        <f t="shared" si="9"/>
        <v/>
      </c>
      <c r="X51" s="50"/>
      <c r="Y51" s="50"/>
      <c r="Z51" s="397" t="str">
        <f t="shared" si="10"/>
        <v/>
      </c>
      <c r="AA51" s="50"/>
      <c r="AB51" s="50"/>
      <c r="AC51" s="397" t="str">
        <f t="shared" si="11"/>
        <v/>
      </c>
      <c r="AD51" s="50"/>
      <c r="AE51" s="50"/>
      <c r="AF51" s="397" t="str">
        <f t="shared" si="12"/>
        <v/>
      </c>
      <c r="AG51" s="49"/>
      <c r="AH51" s="50"/>
      <c r="AI51" s="397" t="str">
        <f t="shared" si="13"/>
        <v/>
      </c>
      <c r="AJ51" s="50"/>
      <c r="AK51" s="50"/>
      <c r="AL51" s="397" t="str">
        <f t="shared" si="14"/>
        <v/>
      </c>
      <c r="AM51" s="396" t="str">
        <f t="shared" si="16"/>
        <v/>
      </c>
      <c r="AN51" s="396" t="str">
        <f t="shared" si="16"/>
        <v/>
      </c>
      <c r="AO51" s="396" t="str">
        <f t="shared" si="2"/>
        <v/>
      </c>
      <c r="AP51" s="396" t="str">
        <f t="shared" si="15"/>
        <v/>
      </c>
      <c r="AR51" s="35" t="str">
        <f t="shared" si="17"/>
        <v>Sembunyikan</v>
      </c>
    </row>
    <row r="52" spans="2:44">
      <c r="B52" s="7">
        <v>43</v>
      </c>
      <c r="C52" s="7" t="str">
        <f>'Data Siswa'!C46&amp;""</f>
        <v/>
      </c>
      <c r="D52" s="11" t="str">
        <f>'Data Siswa'!F46&amp;""</f>
        <v/>
      </c>
      <c r="E52" s="434"/>
      <c r="F52" s="50"/>
      <c r="G52" s="50"/>
      <c r="H52" s="397" t="str">
        <f t="shared" si="4"/>
        <v/>
      </c>
      <c r="I52" s="50"/>
      <c r="J52" s="50"/>
      <c r="K52" s="397" t="str">
        <f t="shared" si="5"/>
        <v/>
      </c>
      <c r="L52" s="50"/>
      <c r="M52" s="50"/>
      <c r="N52" s="397" t="str">
        <f t="shared" si="6"/>
        <v/>
      </c>
      <c r="O52" s="50"/>
      <c r="P52" s="50"/>
      <c r="Q52" s="397" t="str">
        <f t="shared" si="7"/>
        <v/>
      </c>
      <c r="R52" s="50"/>
      <c r="S52" s="50"/>
      <c r="T52" s="397" t="str">
        <f t="shared" si="8"/>
        <v/>
      </c>
      <c r="U52" s="50"/>
      <c r="V52" s="50"/>
      <c r="W52" s="397" t="str">
        <f t="shared" si="9"/>
        <v/>
      </c>
      <c r="X52" s="50"/>
      <c r="Y52" s="50"/>
      <c r="Z52" s="397" t="str">
        <f t="shared" si="10"/>
        <v/>
      </c>
      <c r="AA52" s="50"/>
      <c r="AB52" s="50"/>
      <c r="AC52" s="397" t="str">
        <f t="shared" si="11"/>
        <v/>
      </c>
      <c r="AD52" s="50"/>
      <c r="AE52" s="50"/>
      <c r="AF52" s="397" t="str">
        <f t="shared" si="12"/>
        <v/>
      </c>
      <c r="AG52" s="49"/>
      <c r="AH52" s="50"/>
      <c r="AI52" s="397" t="str">
        <f t="shared" si="13"/>
        <v/>
      </c>
      <c r="AJ52" s="50"/>
      <c r="AK52" s="50"/>
      <c r="AL52" s="397" t="str">
        <f t="shared" si="14"/>
        <v/>
      </c>
      <c r="AM52" s="396" t="str">
        <f t="shared" si="16"/>
        <v/>
      </c>
      <c r="AN52" s="396" t="str">
        <f t="shared" si="16"/>
        <v/>
      </c>
      <c r="AO52" s="396" t="str">
        <f t="shared" si="2"/>
        <v/>
      </c>
      <c r="AP52" s="396" t="str">
        <f t="shared" si="15"/>
        <v/>
      </c>
      <c r="AR52" s="35" t="str">
        <f t="shared" si="17"/>
        <v>Sembunyikan</v>
      </c>
    </row>
    <row r="53" spans="2:44">
      <c r="B53" s="7">
        <v>44</v>
      </c>
      <c r="C53" s="7" t="str">
        <f>'Data Siswa'!C47&amp;""</f>
        <v/>
      </c>
      <c r="D53" s="11" t="str">
        <f>'Data Siswa'!F47&amp;""</f>
        <v/>
      </c>
      <c r="E53" s="434"/>
      <c r="F53" s="50"/>
      <c r="G53" s="50"/>
      <c r="H53" s="397" t="str">
        <f t="shared" si="4"/>
        <v/>
      </c>
      <c r="I53" s="50"/>
      <c r="J53" s="50"/>
      <c r="K53" s="397" t="str">
        <f t="shared" si="5"/>
        <v/>
      </c>
      <c r="L53" s="50"/>
      <c r="M53" s="50"/>
      <c r="N53" s="397" t="str">
        <f t="shared" si="6"/>
        <v/>
      </c>
      <c r="O53" s="50"/>
      <c r="P53" s="50"/>
      <c r="Q53" s="397" t="str">
        <f t="shared" si="7"/>
        <v/>
      </c>
      <c r="R53" s="50"/>
      <c r="S53" s="50"/>
      <c r="T53" s="397" t="str">
        <f t="shared" si="8"/>
        <v/>
      </c>
      <c r="U53" s="50"/>
      <c r="V53" s="50"/>
      <c r="W53" s="397" t="str">
        <f t="shared" si="9"/>
        <v/>
      </c>
      <c r="X53" s="50"/>
      <c r="Y53" s="50"/>
      <c r="Z53" s="397" t="str">
        <f t="shared" si="10"/>
        <v/>
      </c>
      <c r="AA53" s="50"/>
      <c r="AB53" s="50"/>
      <c r="AC53" s="397" t="str">
        <f t="shared" si="11"/>
        <v/>
      </c>
      <c r="AD53" s="50"/>
      <c r="AE53" s="50"/>
      <c r="AF53" s="397" t="str">
        <f t="shared" si="12"/>
        <v/>
      </c>
      <c r="AG53" s="49"/>
      <c r="AH53" s="50"/>
      <c r="AI53" s="397" t="str">
        <f t="shared" si="13"/>
        <v/>
      </c>
      <c r="AJ53" s="50"/>
      <c r="AK53" s="50"/>
      <c r="AL53" s="397" t="str">
        <f t="shared" si="14"/>
        <v/>
      </c>
      <c r="AM53" s="396" t="str">
        <f t="shared" si="16"/>
        <v/>
      </c>
      <c r="AN53" s="396" t="str">
        <f t="shared" si="16"/>
        <v/>
      </c>
      <c r="AO53" s="396" t="str">
        <f t="shared" si="2"/>
        <v/>
      </c>
      <c r="AP53" s="396" t="str">
        <f t="shared" si="15"/>
        <v/>
      </c>
      <c r="AR53" s="35" t="str">
        <f t="shared" si="17"/>
        <v>Sembunyikan</v>
      </c>
    </row>
    <row r="54" spans="2:44">
      <c r="B54" s="7">
        <v>45</v>
      </c>
      <c r="C54" s="7" t="str">
        <f>'Data Siswa'!C48&amp;""</f>
        <v/>
      </c>
      <c r="D54" s="11" t="str">
        <f>'Data Siswa'!F48&amp;""</f>
        <v/>
      </c>
      <c r="E54" s="434"/>
      <c r="F54" s="50"/>
      <c r="G54" s="50"/>
      <c r="H54" s="397" t="str">
        <f t="shared" si="4"/>
        <v/>
      </c>
      <c r="I54" s="50"/>
      <c r="J54" s="50"/>
      <c r="K54" s="397" t="str">
        <f t="shared" si="5"/>
        <v/>
      </c>
      <c r="L54" s="50"/>
      <c r="M54" s="50"/>
      <c r="N54" s="397" t="str">
        <f t="shared" si="6"/>
        <v/>
      </c>
      <c r="O54" s="50"/>
      <c r="P54" s="50"/>
      <c r="Q54" s="397" t="str">
        <f t="shared" si="7"/>
        <v/>
      </c>
      <c r="R54" s="50"/>
      <c r="S54" s="50"/>
      <c r="T54" s="397" t="str">
        <f t="shared" si="8"/>
        <v/>
      </c>
      <c r="U54" s="50"/>
      <c r="V54" s="50"/>
      <c r="W54" s="397" t="str">
        <f t="shared" si="9"/>
        <v/>
      </c>
      <c r="X54" s="50"/>
      <c r="Y54" s="50"/>
      <c r="Z54" s="397" t="str">
        <f t="shared" si="10"/>
        <v/>
      </c>
      <c r="AA54" s="50"/>
      <c r="AB54" s="50"/>
      <c r="AC54" s="397" t="str">
        <f t="shared" si="11"/>
        <v/>
      </c>
      <c r="AD54" s="50"/>
      <c r="AE54" s="50"/>
      <c r="AF54" s="397" t="str">
        <f t="shared" si="12"/>
        <v/>
      </c>
      <c r="AG54" s="49"/>
      <c r="AH54" s="50"/>
      <c r="AI54" s="397" t="str">
        <f t="shared" si="13"/>
        <v/>
      </c>
      <c r="AJ54" s="50"/>
      <c r="AK54" s="50"/>
      <c r="AL54" s="397" t="str">
        <f t="shared" si="14"/>
        <v/>
      </c>
      <c r="AM54" s="396" t="str">
        <f t="shared" si="16"/>
        <v/>
      </c>
      <c r="AN54" s="396" t="str">
        <f t="shared" si="16"/>
        <v/>
      </c>
      <c r="AO54" s="396" t="str">
        <f t="shared" si="2"/>
        <v/>
      </c>
      <c r="AP54" s="396" t="str">
        <f t="shared" si="15"/>
        <v/>
      </c>
      <c r="AR54" s="35" t="str">
        <f t="shared" si="17"/>
        <v>Sembunyikan</v>
      </c>
    </row>
    <row r="55" spans="2:44">
      <c r="B55" s="7">
        <v>46</v>
      </c>
      <c r="C55" s="7" t="str">
        <f>'Data Siswa'!C49&amp;""</f>
        <v/>
      </c>
      <c r="D55" s="11" t="str">
        <f>'Data Siswa'!F49&amp;""</f>
        <v/>
      </c>
      <c r="E55" s="434"/>
      <c r="F55" s="50"/>
      <c r="G55" s="50"/>
      <c r="H55" s="397" t="str">
        <f t="shared" si="4"/>
        <v/>
      </c>
      <c r="I55" s="50"/>
      <c r="J55" s="50"/>
      <c r="K55" s="397" t="str">
        <f t="shared" si="5"/>
        <v/>
      </c>
      <c r="L55" s="50"/>
      <c r="M55" s="50"/>
      <c r="N55" s="397" t="str">
        <f t="shared" si="6"/>
        <v/>
      </c>
      <c r="O55" s="50"/>
      <c r="P55" s="50"/>
      <c r="Q55" s="397" t="str">
        <f t="shared" si="7"/>
        <v/>
      </c>
      <c r="R55" s="50"/>
      <c r="S55" s="50"/>
      <c r="T55" s="397" t="str">
        <f t="shared" si="8"/>
        <v/>
      </c>
      <c r="U55" s="50"/>
      <c r="V55" s="50"/>
      <c r="W55" s="397" t="str">
        <f t="shared" si="9"/>
        <v/>
      </c>
      <c r="X55" s="50"/>
      <c r="Y55" s="50"/>
      <c r="Z55" s="397" t="str">
        <f t="shared" si="10"/>
        <v/>
      </c>
      <c r="AA55" s="50"/>
      <c r="AB55" s="50"/>
      <c r="AC55" s="397" t="str">
        <f t="shared" si="11"/>
        <v/>
      </c>
      <c r="AD55" s="50"/>
      <c r="AE55" s="50"/>
      <c r="AF55" s="397" t="str">
        <f t="shared" si="12"/>
        <v/>
      </c>
      <c r="AG55" s="49"/>
      <c r="AH55" s="50"/>
      <c r="AI55" s="397" t="str">
        <f t="shared" si="13"/>
        <v/>
      </c>
      <c r="AJ55" s="50"/>
      <c r="AK55" s="50"/>
      <c r="AL55" s="397" t="str">
        <f t="shared" si="14"/>
        <v/>
      </c>
      <c r="AM55" s="396" t="str">
        <f t="shared" si="16"/>
        <v/>
      </c>
      <c r="AN55" s="396" t="str">
        <f t="shared" si="16"/>
        <v/>
      </c>
      <c r="AO55" s="396" t="str">
        <f t="shared" si="2"/>
        <v/>
      </c>
      <c r="AP55" s="396" t="str">
        <f t="shared" si="15"/>
        <v/>
      </c>
      <c r="AR55" s="35" t="str">
        <f t="shared" si="17"/>
        <v>Sembunyikan</v>
      </c>
    </row>
    <row r="56" spans="2:44">
      <c r="B56" s="7">
        <v>47</v>
      </c>
      <c r="C56" s="7" t="str">
        <f>'Data Siswa'!C50&amp;""</f>
        <v/>
      </c>
      <c r="D56" s="11" t="str">
        <f>'Data Siswa'!F50&amp;""</f>
        <v/>
      </c>
      <c r="E56" s="434"/>
      <c r="F56" s="50"/>
      <c r="G56" s="50"/>
      <c r="H56" s="397" t="str">
        <f t="shared" si="4"/>
        <v/>
      </c>
      <c r="I56" s="50"/>
      <c r="J56" s="50"/>
      <c r="K56" s="397" t="str">
        <f t="shared" si="5"/>
        <v/>
      </c>
      <c r="L56" s="50"/>
      <c r="M56" s="50"/>
      <c r="N56" s="397" t="str">
        <f t="shared" si="6"/>
        <v/>
      </c>
      <c r="O56" s="50"/>
      <c r="P56" s="50"/>
      <c r="Q56" s="397" t="str">
        <f t="shared" si="7"/>
        <v/>
      </c>
      <c r="R56" s="50"/>
      <c r="S56" s="50"/>
      <c r="T56" s="397" t="str">
        <f t="shared" si="8"/>
        <v/>
      </c>
      <c r="U56" s="50"/>
      <c r="V56" s="50"/>
      <c r="W56" s="397" t="str">
        <f t="shared" si="9"/>
        <v/>
      </c>
      <c r="X56" s="50"/>
      <c r="Y56" s="50"/>
      <c r="Z56" s="397" t="str">
        <f t="shared" si="10"/>
        <v/>
      </c>
      <c r="AA56" s="50"/>
      <c r="AB56" s="50"/>
      <c r="AC56" s="397" t="str">
        <f t="shared" si="11"/>
        <v/>
      </c>
      <c r="AD56" s="50"/>
      <c r="AE56" s="50"/>
      <c r="AF56" s="397" t="str">
        <f t="shared" si="12"/>
        <v/>
      </c>
      <c r="AG56" s="49"/>
      <c r="AH56" s="50"/>
      <c r="AI56" s="397" t="str">
        <f t="shared" si="13"/>
        <v/>
      </c>
      <c r="AJ56" s="50"/>
      <c r="AK56" s="50"/>
      <c r="AL56" s="397" t="str">
        <f t="shared" si="14"/>
        <v/>
      </c>
      <c r="AM56" s="396" t="str">
        <f t="shared" si="16"/>
        <v/>
      </c>
      <c r="AN56" s="396" t="str">
        <f t="shared" si="16"/>
        <v/>
      </c>
      <c r="AO56" s="396" t="str">
        <f t="shared" si="2"/>
        <v/>
      </c>
      <c r="AP56" s="396" t="str">
        <f t="shared" si="15"/>
        <v/>
      </c>
      <c r="AR56" s="35" t="str">
        <f t="shared" si="17"/>
        <v>Sembunyikan</v>
      </c>
    </row>
    <row r="57" spans="2:44">
      <c r="B57" s="7">
        <v>48</v>
      </c>
      <c r="C57" s="7" t="str">
        <f>'Data Siswa'!C51&amp;""</f>
        <v/>
      </c>
      <c r="D57" s="11" t="str">
        <f>'Data Siswa'!F51&amp;""</f>
        <v/>
      </c>
      <c r="E57" s="434"/>
      <c r="F57" s="50"/>
      <c r="G57" s="50"/>
      <c r="H57" s="397" t="str">
        <f t="shared" si="4"/>
        <v/>
      </c>
      <c r="I57" s="50"/>
      <c r="J57" s="50"/>
      <c r="K57" s="397" t="str">
        <f t="shared" si="5"/>
        <v/>
      </c>
      <c r="L57" s="50"/>
      <c r="M57" s="50"/>
      <c r="N57" s="397" t="str">
        <f t="shared" si="6"/>
        <v/>
      </c>
      <c r="O57" s="50"/>
      <c r="P57" s="50"/>
      <c r="Q57" s="397" t="str">
        <f t="shared" si="7"/>
        <v/>
      </c>
      <c r="R57" s="50"/>
      <c r="S57" s="50"/>
      <c r="T57" s="397" t="str">
        <f t="shared" si="8"/>
        <v/>
      </c>
      <c r="U57" s="50"/>
      <c r="V57" s="50"/>
      <c r="W57" s="397" t="str">
        <f t="shared" si="9"/>
        <v/>
      </c>
      <c r="X57" s="50"/>
      <c r="Y57" s="50"/>
      <c r="Z57" s="397" t="str">
        <f t="shared" si="10"/>
        <v/>
      </c>
      <c r="AA57" s="50"/>
      <c r="AB57" s="50"/>
      <c r="AC57" s="397" t="str">
        <f t="shared" si="11"/>
        <v/>
      </c>
      <c r="AD57" s="50"/>
      <c r="AE57" s="50"/>
      <c r="AF57" s="397" t="str">
        <f t="shared" si="12"/>
        <v/>
      </c>
      <c r="AG57" s="49"/>
      <c r="AH57" s="50"/>
      <c r="AI57" s="397" t="str">
        <f t="shared" si="13"/>
        <v/>
      </c>
      <c r="AJ57" s="50"/>
      <c r="AK57" s="50"/>
      <c r="AL57" s="397" t="str">
        <f t="shared" si="14"/>
        <v/>
      </c>
      <c r="AM57" s="396" t="str">
        <f t="shared" si="16"/>
        <v/>
      </c>
      <c r="AN57" s="396" t="str">
        <f t="shared" si="16"/>
        <v/>
      </c>
      <c r="AO57" s="396" t="str">
        <f t="shared" si="2"/>
        <v/>
      </c>
      <c r="AP57" s="396" t="str">
        <f t="shared" si="15"/>
        <v/>
      </c>
      <c r="AR57" s="35" t="str">
        <f t="shared" si="17"/>
        <v>Sembunyikan</v>
      </c>
    </row>
    <row r="58" spans="2:44">
      <c r="B58" s="7">
        <v>49</v>
      </c>
      <c r="C58" s="7" t="str">
        <f>'Data Siswa'!C52&amp;""</f>
        <v/>
      </c>
      <c r="D58" s="11" t="str">
        <f>'Data Siswa'!F52&amp;""</f>
        <v/>
      </c>
      <c r="E58" s="434"/>
      <c r="F58" s="50"/>
      <c r="G58" s="50"/>
      <c r="H58" s="397" t="str">
        <f t="shared" si="4"/>
        <v/>
      </c>
      <c r="I58" s="50"/>
      <c r="J58" s="50"/>
      <c r="K58" s="397" t="str">
        <f t="shared" si="5"/>
        <v/>
      </c>
      <c r="L58" s="50"/>
      <c r="M58" s="50"/>
      <c r="N58" s="397" t="str">
        <f t="shared" si="6"/>
        <v/>
      </c>
      <c r="O58" s="50"/>
      <c r="P58" s="50"/>
      <c r="Q58" s="397" t="str">
        <f t="shared" si="7"/>
        <v/>
      </c>
      <c r="R58" s="50"/>
      <c r="S58" s="50"/>
      <c r="T58" s="397" t="str">
        <f t="shared" si="8"/>
        <v/>
      </c>
      <c r="U58" s="50"/>
      <c r="V58" s="50"/>
      <c r="W58" s="397" t="str">
        <f t="shared" si="9"/>
        <v/>
      </c>
      <c r="X58" s="50"/>
      <c r="Y58" s="50"/>
      <c r="Z58" s="397" t="str">
        <f t="shared" si="10"/>
        <v/>
      </c>
      <c r="AA58" s="50"/>
      <c r="AB58" s="50"/>
      <c r="AC58" s="397" t="str">
        <f t="shared" si="11"/>
        <v/>
      </c>
      <c r="AD58" s="50"/>
      <c r="AE58" s="50"/>
      <c r="AF58" s="397" t="str">
        <f t="shared" si="12"/>
        <v/>
      </c>
      <c r="AG58" s="49"/>
      <c r="AH58" s="50"/>
      <c r="AI58" s="397" t="str">
        <f t="shared" si="13"/>
        <v/>
      </c>
      <c r="AJ58" s="50"/>
      <c r="AK58" s="50"/>
      <c r="AL58" s="397" t="str">
        <f t="shared" si="14"/>
        <v/>
      </c>
      <c r="AM58" s="396" t="str">
        <f t="shared" si="16"/>
        <v/>
      </c>
      <c r="AN58" s="396" t="str">
        <f t="shared" si="16"/>
        <v/>
      </c>
      <c r="AO58" s="396" t="str">
        <f t="shared" si="2"/>
        <v/>
      </c>
      <c r="AP58" s="396" t="str">
        <f t="shared" si="15"/>
        <v/>
      </c>
      <c r="AR58" s="35" t="str">
        <f t="shared" si="17"/>
        <v>Sembunyikan</v>
      </c>
    </row>
    <row r="59" spans="2:44">
      <c r="B59" s="7">
        <v>50</v>
      </c>
      <c r="C59" s="7" t="str">
        <f>'Data Siswa'!C53&amp;""</f>
        <v/>
      </c>
      <c r="D59" s="11" t="str">
        <f>'Data Siswa'!F53&amp;""</f>
        <v/>
      </c>
      <c r="E59" s="435"/>
      <c r="F59" s="50"/>
      <c r="G59" s="50"/>
      <c r="H59" s="397" t="str">
        <f t="shared" si="4"/>
        <v/>
      </c>
      <c r="I59" s="50"/>
      <c r="J59" s="50"/>
      <c r="K59" s="397" t="str">
        <f t="shared" si="5"/>
        <v/>
      </c>
      <c r="L59" s="50"/>
      <c r="M59" s="50"/>
      <c r="N59" s="397" t="str">
        <f t="shared" si="6"/>
        <v/>
      </c>
      <c r="O59" s="50"/>
      <c r="P59" s="50"/>
      <c r="Q59" s="397" t="str">
        <f t="shared" si="7"/>
        <v/>
      </c>
      <c r="R59" s="50"/>
      <c r="S59" s="50"/>
      <c r="T59" s="397" t="str">
        <f t="shared" si="8"/>
        <v/>
      </c>
      <c r="U59" s="50"/>
      <c r="V59" s="50"/>
      <c r="W59" s="397" t="str">
        <f t="shared" si="9"/>
        <v/>
      </c>
      <c r="X59" s="50"/>
      <c r="Y59" s="50"/>
      <c r="Z59" s="397" t="str">
        <f t="shared" si="10"/>
        <v/>
      </c>
      <c r="AA59" s="50"/>
      <c r="AB59" s="50"/>
      <c r="AC59" s="397" t="str">
        <f t="shared" si="11"/>
        <v/>
      </c>
      <c r="AD59" s="50"/>
      <c r="AE59" s="50"/>
      <c r="AF59" s="397" t="str">
        <f t="shared" si="12"/>
        <v/>
      </c>
      <c r="AG59" s="49"/>
      <c r="AH59" s="50"/>
      <c r="AI59" s="397" t="str">
        <f t="shared" si="13"/>
        <v/>
      </c>
      <c r="AJ59" s="50"/>
      <c r="AK59" s="50"/>
      <c r="AL59" s="397" t="str">
        <f t="shared" si="14"/>
        <v/>
      </c>
      <c r="AM59" s="396" t="str">
        <f t="shared" si="16"/>
        <v/>
      </c>
      <c r="AN59" s="396" t="str">
        <f t="shared" si="16"/>
        <v/>
      </c>
      <c r="AO59" s="396" t="str">
        <f t="shared" si="2"/>
        <v/>
      </c>
      <c r="AP59" s="396" t="str">
        <f t="shared" si="15"/>
        <v/>
      </c>
      <c r="AR59" s="35" t="str">
        <f t="shared" si="17"/>
        <v>Sembunyikan</v>
      </c>
    </row>
    <row r="61" spans="2:44">
      <c r="AD61" s="1" t="str">
        <f>Kabupaten&amp;", "&amp;TEXT(Tanggal,"DD MMMM YYYY")</f>
        <v>Wonogiri, 15 Juni 2022</v>
      </c>
    </row>
    <row r="62" spans="2:44">
      <c r="AD62" s="1" t="str">
        <f>"Kepala"&amp;" "&amp;Nama_Sekolah</f>
        <v>Kepala Sekolah Dasar Negeri 1 Giriharjo</v>
      </c>
    </row>
    <row r="63" spans="2:44">
      <c r="B63" s="213" t="s">
        <v>177</v>
      </c>
    </row>
    <row r="64" spans="2:44">
      <c r="B64" s="21" t="s">
        <v>178</v>
      </c>
    </row>
    <row r="66" spans="2:31">
      <c r="AD66" s="37">
        <f>Kepsek</f>
        <v>0</v>
      </c>
      <c r="AE66" s="37"/>
    </row>
    <row r="67" spans="2:31">
      <c r="AD67" s="36">
        <f>NIP_Kepsek</f>
        <v>0</v>
      </c>
      <c r="AE67" s="36"/>
    </row>
    <row r="71" spans="2:31">
      <c r="B71" s="192" t="s">
        <v>134</v>
      </c>
    </row>
  </sheetData>
  <sheetProtection password="CC5B" sheet="1" objects="1" scenarios="1" formatCells="0" formatColumns="0" autoFilter="0"/>
  <autoFilter ref="AR8:AR59"/>
  <mergeCells count="30">
    <mergeCell ref="E10:E59"/>
    <mergeCell ref="AP7:AP9"/>
    <mergeCell ref="F8:G8"/>
    <mergeCell ref="I8:J8"/>
    <mergeCell ref="L8:M8"/>
    <mergeCell ref="O8:P8"/>
    <mergeCell ref="R8:S8"/>
    <mergeCell ref="U8:V8"/>
    <mergeCell ref="X8:Y8"/>
    <mergeCell ref="AA8:AB8"/>
    <mergeCell ref="AD8:AE8"/>
    <mergeCell ref="Z7:Z9"/>
    <mergeCell ref="AC7:AC9"/>
    <mergeCell ref="AF7:AF9"/>
    <mergeCell ref="AI7:AI9"/>
    <mergeCell ref="AL7:AL9"/>
    <mergeCell ref="AO7:AO9"/>
    <mergeCell ref="AG8:AH8"/>
    <mergeCell ref="AJ8:AK8"/>
    <mergeCell ref="B1:AP1"/>
    <mergeCell ref="B7:B9"/>
    <mergeCell ref="C7:C9"/>
    <mergeCell ref="D7:D9"/>
    <mergeCell ref="H7:H9"/>
    <mergeCell ref="K7:K9"/>
    <mergeCell ref="N7:N9"/>
    <mergeCell ref="Q7:Q9"/>
    <mergeCell ref="T7:T9"/>
    <mergeCell ref="W7:W9"/>
    <mergeCell ref="AM7:AN8"/>
  </mergeCells>
  <conditionalFormatting sqref="F10:F59">
    <cfRule type="cellIs" dxfId="148" priority="126" operator="lessThan">
      <formula>$F$7</formula>
    </cfRule>
  </conditionalFormatting>
  <conditionalFormatting sqref="G10:G59">
    <cfRule type="cellIs" dxfId="147" priority="125" operator="lessThan">
      <formula>$G$7</formula>
    </cfRule>
  </conditionalFormatting>
  <conditionalFormatting sqref="I10:I59">
    <cfRule type="cellIs" dxfId="146" priority="124" operator="lessThan">
      <formula>$I$7</formula>
    </cfRule>
  </conditionalFormatting>
  <conditionalFormatting sqref="J10:J59">
    <cfRule type="cellIs" dxfId="145" priority="123" operator="lessThan">
      <formula>$J$7</formula>
    </cfRule>
  </conditionalFormatting>
  <conditionalFormatting sqref="L10:L59">
    <cfRule type="cellIs" dxfId="144" priority="122" operator="lessThan">
      <formula>$L$7</formula>
    </cfRule>
  </conditionalFormatting>
  <conditionalFormatting sqref="M10:M59">
    <cfRule type="cellIs" dxfId="143" priority="121" operator="lessThan">
      <formula>$M$7</formula>
    </cfRule>
  </conditionalFormatting>
  <conditionalFormatting sqref="O10:O59">
    <cfRule type="cellIs" dxfId="142" priority="120" operator="lessThan">
      <formula>$O$7</formula>
    </cfRule>
  </conditionalFormatting>
  <conditionalFormatting sqref="P10:P59">
    <cfRule type="cellIs" dxfId="141" priority="119" operator="lessThan">
      <formula>$P$7</formula>
    </cfRule>
  </conditionalFormatting>
  <conditionalFormatting sqref="R10:R59">
    <cfRule type="cellIs" dxfId="140" priority="118" operator="lessThan">
      <formula>$R$7</formula>
    </cfRule>
  </conditionalFormatting>
  <conditionalFormatting sqref="S10:S59">
    <cfRule type="cellIs" dxfId="139" priority="117" operator="lessThan">
      <formula>$S$7</formula>
    </cfRule>
  </conditionalFormatting>
  <conditionalFormatting sqref="U10:U59">
    <cfRule type="cellIs" dxfId="138" priority="116" operator="lessThan">
      <formula>$U$7</formula>
    </cfRule>
  </conditionalFormatting>
  <conditionalFormatting sqref="V10:V59">
    <cfRule type="cellIs" dxfId="137" priority="115" operator="lessThan">
      <formula>$V$7</formula>
    </cfRule>
  </conditionalFormatting>
  <conditionalFormatting sqref="X10:X59">
    <cfRule type="cellIs" dxfId="136" priority="114" operator="lessThan">
      <formula>$X$7</formula>
    </cfRule>
  </conditionalFormatting>
  <conditionalFormatting sqref="Y10:Y59">
    <cfRule type="cellIs" dxfId="135" priority="113" operator="lessThan">
      <formula>$Y$7</formula>
    </cfRule>
  </conditionalFormatting>
  <conditionalFormatting sqref="AA10:AA59">
    <cfRule type="cellIs" dxfId="134" priority="112" operator="lessThan">
      <formula>$AA$7</formula>
    </cfRule>
  </conditionalFormatting>
  <conditionalFormatting sqref="AB10:AB59">
    <cfRule type="cellIs" dxfId="133" priority="111" operator="lessThan">
      <formula>$AB$7</formula>
    </cfRule>
  </conditionalFormatting>
  <conditionalFormatting sqref="AD10:AD59">
    <cfRule type="cellIs" dxfId="132" priority="110" operator="lessThan">
      <formula>$AD$7</formula>
    </cfRule>
  </conditionalFormatting>
  <conditionalFormatting sqref="AE10:AE59">
    <cfRule type="cellIs" dxfId="131" priority="109" operator="lessThan">
      <formula>$AE$7</formula>
    </cfRule>
  </conditionalFormatting>
  <conditionalFormatting sqref="AG10:AG59">
    <cfRule type="cellIs" dxfId="130" priority="108" operator="lessThan">
      <formula>$AG$7</formula>
    </cfRule>
  </conditionalFormatting>
  <conditionalFormatting sqref="AH10:AH59">
    <cfRule type="cellIs" dxfId="129" priority="107" operator="lessThan">
      <formula>$AH$7</formula>
    </cfRule>
  </conditionalFormatting>
  <conditionalFormatting sqref="AJ10:AJ59">
    <cfRule type="cellIs" dxfId="128" priority="106" operator="lessThan">
      <formula>$AJ$7</formula>
    </cfRule>
  </conditionalFormatting>
  <conditionalFormatting sqref="AK10:AK59">
    <cfRule type="cellIs" dxfId="127" priority="105" operator="lessThan">
      <formula>$AK$7</formula>
    </cfRule>
  </conditionalFormatting>
  <conditionalFormatting sqref="F10:F59">
    <cfRule type="cellIs" dxfId="126" priority="104" operator="lessThan">
      <formula>$F$7</formula>
    </cfRule>
  </conditionalFormatting>
  <conditionalFormatting sqref="G10:G59">
    <cfRule type="cellIs" dxfId="125" priority="103" operator="lessThan">
      <formula>$G$7</formula>
    </cfRule>
  </conditionalFormatting>
  <conditionalFormatting sqref="I10:I59">
    <cfRule type="cellIs" dxfId="124" priority="102" operator="lessThan">
      <formula>$I$7</formula>
    </cfRule>
  </conditionalFormatting>
  <conditionalFormatting sqref="J10:J59">
    <cfRule type="cellIs" dxfId="123" priority="101" operator="lessThan">
      <formula>$J$7</formula>
    </cfRule>
  </conditionalFormatting>
  <conditionalFormatting sqref="L10:L59">
    <cfRule type="cellIs" dxfId="122" priority="100" operator="lessThan">
      <formula>$L$7</formula>
    </cfRule>
  </conditionalFormatting>
  <conditionalFormatting sqref="M10:M59">
    <cfRule type="cellIs" dxfId="121" priority="99" operator="lessThan">
      <formula>$M$7</formula>
    </cfRule>
  </conditionalFormatting>
  <conditionalFormatting sqref="O10:O59">
    <cfRule type="cellIs" dxfId="120" priority="98" operator="lessThan">
      <formula>$O$7</formula>
    </cfRule>
  </conditionalFormatting>
  <conditionalFormatting sqref="P10:P59">
    <cfRule type="cellIs" dxfId="119" priority="97" operator="lessThan">
      <formula>$P$7</formula>
    </cfRule>
  </conditionalFormatting>
  <conditionalFormatting sqref="R10:R59">
    <cfRule type="cellIs" dxfId="118" priority="96" operator="lessThan">
      <formula>$R$7</formula>
    </cfRule>
  </conditionalFormatting>
  <conditionalFormatting sqref="S10:S59">
    <cfRule type="cellIs" dxfId="117" priority="95" operator="lessThan">
      <formula>$S$7</formula>
    </cfRule>
  </conditionalFormatting>
  <conditionalFormatting sqref="U10:U59">
    <cfRule type="cellIs" dxfId="116" priority="94" operator="lessThan">
      <formula>$U$7</formula>
    </cfRule>
  </conditionalFormatting>
  <conditionalFormatting sqref="V10:V59">
    <cfRule type="cellIs" dxfId="115" priority="93" operator="lessThan">
      <formula>$V$7</formula>
    </cfRule>
  </conditionalFormatting>
  <conditionalFormatting sqref="X10:X59">
    <cfRule type="cellIs" dxfId="114" priority="92" operator="lessThan">
      <formula>$X$7</formula>
    </cfRule>
  </conditionalFormatting>
  <conditionalFormatting sqref="Y10:Y59">
    <cfRule type="cellIs" dxfId="113" priority="91" operator="lessThan">
      <formula>$Y$7</formula>
    </cfRule>
  </conditionalFormatting>
  <conditionalFormatting sqref="AA10:AA59">
    <cfRule type="cellIs" dxfId="112" priority="90" operator="lessThan">
      <formula>$AA$7</formula>
    </cfRule>
  </conditionalFormatting>
  <conditionalFormatting sqref="AB10:AB59">
    <cfRule type="cellIs" dxfId="111" priority="89" operator="lessThan">
      <formula>$AB$7</formula>
    </cfRule>
  </conditionalFormatting>
  <conditionalFormatting sqref="AD10:AD59">
    <cfRule type="cellIs" dxfId="110" priority="88" operator="lessThan">
      <formula>$AD$7</formula>
    </cfRule>
  </conditionalFormatting>
  <conditionalFormatting sqref="AE10:AE59">
    <cfRule type="cellIs" dxfId="109" priority="87" operator="lessThan">
      <formula>$AE$7</formula>
    </cfRule>
  </conditionalFormatting>
  <conditionalFormatting sqref="AG10:AG59">
    <cfRule type="cellIs" dxfId="108" priority="86" operator="lessThan">
      <formula>$AG$7</formula>
    </cfRule>
  </conditionalFormatting>
  <conditionalFormatting sqref="AH10:AH59">
    <cfRule type="cellIs" dxfId="107" priority="85" operator="lessThan">
      <formula>$AH$7</formula>
    </cfRule>
  </conditionalFormatting>
  <conditionalFormatting sqref="AJ10:AJ59">
    <cfRule type="cellIs" dxfId="106" priority="84" operator="lessThan">
      <formula>$AJ$7</formula>
    </cfRule>
  </conditionalFormatting>
  <conditionalFormatting sqref="AK10:AK59">
    <cfRule type="cellIs" dxfId="105" priority="83" operator="lessThan">
      <formula>$AK$7</formula>
    </cfRule>
  </conditionalFormatting>
  <conditionalFormatting sqref="F12:F59">
    <cfRule type="cellIs" dxfId="104" priority="82" operator="lessThan">
      <formula>$F$7</formula>
    </cfRule>
  </conditionalFormatting>
  <conditionalFormatting sqref="G11:G59">
    <cfRule type="cellIs" dxfId="103" priority="81" operator="lessThan">
      <formula>$G$7</formula>
    </cfRule>
  </conditionalFormatting>
  <conditionalFormatting sqref="I11:I59">
    <cfRule type="cellIs" dxfId="102" priority="80" operator="lessThan">
      <formula>$I$7</formula>
    </cfRule>
  </conditionalFormatting>
  <conditionalFormatting sqref="J11:J59">
    <cfRule type="cellIs" dxfId="101" priority="79" operator="lessThan">
      <formula>$J$7</formula>
    </cfRule>
  </conditionalFormatting>
  <conditionalFormatting sqref="L11:L59">
    <cfRule type="cellIs" dxfId="100" priority="78" operator="lessThan">
      <formula>$L$7</formula>
    </cfRule>
  </conditionalFormatting>
  <conditionalFormatting sqref="M11:M59">
    <cfRule type="cellIs" dxfId="99" priority="77" operator="lessThan">
      <formula>$M$7</formula>
    </cfRule>
  </conditionalFormatting>
  <conditionalFormatting sqref="O11:O59">
    <cfRule type="cellIs" dxfId="98" priority="76" operator="lessThan">
      <formula>$O$7</formula>
    </cfRule>
  </conditionalFormatting>
  <conditionalFormatting sqref="P11:P59">
    <cfRule type="cellIs" dxfId="97" priority="75" operator="lessThan">
      <formula>$P$7</formula>
    </cfRule>
  </conditionalFormatting>
  <conditionalFormatting sqref="R11:R59">
    <cfRule type="cellIs" dxfId="96" priority="74" operator="lessThan">
      <formula>$R$7</formula>
    </cfRule>
  </conditionalFormatting>
  <conditionalFormatting sqref="S11:S59">
    <cfRule type="cellIs" dxfId="95" priority="73" operator="lessThan">
      <formula>$S$7</formula>
    </cfRule>
  </conditionalFormatting>
  <conditionalFormatting sqref="U11:U59">
    <cfRule type="cellIs" dxfId="94" priority="72" operator="lessThan">
      <formula>$U$7</formula>
    </cfRule>
  </conditionalFormatting>
  <conditionalFormatting sqref="V11:V59">
    <cfRule type="cellIs" dxfId="93" priority="71" operator="lessThan">
      <formula>$V$7</formula>
    </cfRule>
  </conditionalFormatting>
  <conditionalFormatting sqref="X11:X59">
    <cfRule type="cellIs" dxfId="92" priority="70" operator="lessThan">
      <formula>$X$7</formula>
    </cfRule>
  </conditionalFormatting>
  <conditionalFormatting sqref="Y11:Y59">
    <cfRule type="cellIs" dxfId="91" priority="69" operator="lessThan">
      <formula>$Y$7</formula>
    </cfRule>
  </conditionalFormatting>
  <conditionalFormatting sqref="AA11:AA59">
    <cfRule type="cellIs" dxfId="90" priority="68" operator="lessThan">
      <formula>$AA$7</formula>
    </cfRule>
  </conditionalFormatting>
  <conditionalFormatting sqref="AB11:AB59">
    <cfRule type="cellIs" dxfId="89" priority="67" operator="lessThan">
      <formula>$AB$7</formula>
    </cfRule>
  </conditionalFormatting>
  <conditionalFormatting sqref="AD11:AD59">
    <cfRule type="cellIs" dxfId="88" priority="66" operator="lessThan">
      <formula>$AD$7</formula>
    </cfRule>
  </conditionalFormatting>
  <conditionalFormatting sqref="AE11:AE59">
    <cfRule type="cellIs" dxfId="87" priority="65" operator="lessThan">
      <formula>$AE$7</formula>
    </cfRule>
  </conditionalFormatting>
  <conditionalFormatting sqref="AG10:AG59">
    <cfRule type="cellIs" dxfId="86" priority="64" operator="lessThan">
      <formula>$AG$7</formula>
    </cfRule>
  </conditionalFormatting>
  <conditionalFormatting sqref="AH10:AH59">
    <cfRule type="cellIs" dxfId="85" priority="63" operator="lessThan">
      <formula>$AH$7</formula>
    </cfRule>
  </conditionalFormatting>
  <conditionalFormatting sqref="AJ10:AJ59">
    <cfRule type="cellIs" dxfId="84" priority="62" operator="lessThan">
      <formula>$AJ$7</formula>
    </cfRule>
  </conditionalFormatting>
  <conditionalFormatting sqref="AK10:AK59">
    <cfRule type="cellIs" dxfId="83" priority="61" operator="lessThan">
      <formula>$AK$7</formula>
    </cfRule>
  </conditionalFormatting>
  <conditionalFormatting sqref="F12:F59">
    <cfRule type="cellIs" dxfId="82" priority="60" operator="lessThan">
      <formula>$F$7</formula>
    </cfRule>
  </conditionalFormatting>
  <conditionalFormatting sqref="G11:G59">
    <cfRule type="cellIs" dxfId="81" priority="59" operator="lessThan">
      <formula>$G$7</formula>
    </cfRule>
  </conditionalFormatting>
  <conditionalFormatting sqref="I11:I59">
    <cfRule type="cellIs" dxfId="80" priority="58" operator="lessThan">
      <formula>$I$7</formula>
    </cfRule>
  </conditionalFormatting>
  <conditionalFormatting sqref="J11:J59">
    <cfRule type="cellIs" dxfId="79" priority="57" operator="lessThan">
      <formula>$J$7</formula>
    </cfRule>
  </conditionalFormatting>
  <conditionalFormatting sqref="L11:L59">
    <cfRule type="cellIs" dxfId="78" priority="56" operator="lessThan">
      <formula>$L$7</formula>
    </cfRule>
  </conditionalFormatting>
  <conditionalFormatting sqref="M11:M59">
    <cfRule type="cellIs" dxfId="77" priority="55" operator="lessThan">
      <formula>$M$7</formula>
    </cfRule>
  </conditionalFormatting>
  <conditionalFormatting sqref="O11:O59">
    <cfRule type="cellIs" dxfId="76" priority="54" operator="lessThan">
      <formula>$O$7</formula>
    </cfRule>
  </conditionalFormatting>
  <conditionalFormatting sqref="P11:P59">
    <cfRule type="cellIs" dxfId="75" priority="53" operator="lessThan">
      <formula>$P$7</formula>
    </cfRule>
  </conditionalFormatting>
  <conditionalFormatting sqref="R11:R59">
    <cfRule type="cellIs" dxfId="74" priority="52" operator="lessThan">
      <formula>$R$7</formula>
    </cfRule>
  </conditionalFormatting>
  <conditionalFormatting sqref="S11:S59">
    <cfRule type="cellIs" dxfId="73" priority="51" operator="lessThan">
      <formula>$S$7</formula>
    </cfRule>
  </conditionalFormatting>
  <conditionalFormatting sqref="U11:U59">
    <cfRule type="cellIs" dxfId="72" priority="50" operator="lessThan">
      <formula>$U$7</formula>
    </cfRule>
  </conditionalFormatting>
  <conditionalFormatting sqref="V11:V59">
    <cfRule type="cellIs" dxfId="71" priority="49" operator="lessThan">
      <formula>$V$7</formula>
    </cfRule>
  </conditionalFormatting>
  <conditionalFormatting sqref="X11:X59">
    <cfRule type="cellIs" dxfId="70" priority="48" operator="lessThan">
      <formula>$X$7</formula>
    </cfRule>
  </conditionalFormatting>
  <conditionalFormatting sqref="Y11:Y59">
    <cfRule type="cellIs" dxfId="69" priority="47" operator="lessThan">
      <formula>$Y$7</formula>
    </cfRule>
  </conditionalFormatting>
  <conditionalFormatting sqref="AA11:AA59">
    <cfRule type="cellIs" dxfId="68" priority="46" operator="lessThan">
      <formula>$AA$7</formula>
    </cfRule>
  </conditionalFormatting>
  <conditionalFormatting sqref="AB11:AB59">
    <cfRule type="cellIs" dxfId="67" priority="45" operator="lessThan">
      <formula>$AB$7</formula>
    </cfRule>
  </conditionalFormatting>
  <conditionalFormatting sqref="AD11:AD59">
    <cfRule type="cellIs" dxfId="66" priority="44" operator="lessThan">
      <formula>$AD$7</formula>
    </cfRule>
  </conditionalFormatting>
  <conditionalFormatting sqref="AE11:AE59">
    <cfRule type="cellIs" dxfId="65" priority="43" operator="lessThan">
      <formula>$AE$7</formula>
    </cfRule>
  </conditionalFormatting>
  <conditionalFormatting sqref="AG10:AG59">
    <cfRule type="cellIs" dxfId="64" priority="42" operator="lessThan">
      <formula>$AG$7</formula>
    </cfRule>
  </conditionalFormatting>
  <conditionalFormatting sqref="AH10:AH59">
    <cfRule type="cellIs" dxfId="63" priority="41" operator="lessThan">
      <formula>$AH$7</formula>
    </cfRule>
  </conditionalFormatting>
  <conditionalFormatting sqref="AJ10:AJ59">
    <cfRule type="cellIs" dxfId="62" priority="40" operator="lessThan">
      <formula>$AJ$7</formula>
    </cfRule>
  </conditionalFormatting>
  <conditionalFormatting sqref="AK10:AK59">
    <cfRule type="cellIs" dxfId="61" priority="39" operator="lessThan">
      <formula>$AK$7</formula>
    </cfRule>
  </conditionalFormatting>
  <conditionalFormatting sqref="F11">
    <cfRule type="cellIs" dxfId="60" priority="38" operator="lessThan">
      <formula>$F$7</formula>
    </cfRule>
  </conditionalFormatting>
  <conditionalFormatting sqref="F11">
    <cfRule type="cellIs" dxfId="59" priority="37" operator="lessThan">
      <formula>$F$7</formula>
    </cfRule>
  </conditionalFormatting>
  <conditionalFormatting sqref="F10">
    <cfRule type="cellIs" dxfId="58" priority="36" operator="lessThan">
      <formula>$F$7</formula>
    </cfRule>
  </conditionalFormatting>
  <conditionalFormatting sqref="G10">
    <cfRule type="cellIs" dxfId="57" priority="35" operator="lessThan">
      <formula>$G$7</formula>
    </cfRule>
  </conditionalFormatting>
  <conditionalFormatting sqref="I10">
    <cfRule type="cellIs" dxfId="56" priority="34" operator="lessThan">
      <formula>$I$7</formula>
    </cfRule>
  </conditionalFormatting>
  <conditionalFormatting sqref="J10">
    <cfRule type="cellIs" dxfId="55" priority="33" operator="lessThan">
      <formula>$J$7</formula>
    </cfRule>
  </conditionalFormatting>
  <conditionalFormatting sqref="O10">
    <cfRule type="cellIs" dxfId="54" priority="32" operator="lessThan">
      <formula>$O$7</formula>
    </cfRule>
  </conditionalFormatting>
  <conditionalFormatting sqref="P10">
    <cfRule type="cellIs" dxfId="53" priority="31" operator="lessThan">
      <formula>$P$7</formula>
    </cfRule>
  </conditionalFormatting>
  <conditionalFormatting sqref="R10">
    <cfRule type="cellIs" dxfId="52" priority="30" operator="lessThan">
      <formula>$R$7</formula>
    </cfRule>
  </conditionalFormatting>
  <conditionalFormatting sqref="S10">
    <cfRule type="cellIs" dxfId="51" priority="29" operator="lessThan">
      <formula>$S$7</formula>
    </cfRule>
  </conditionalFormatting>
  <conditionalFormatting sqref="U10">
    <cfRule type="cellIs" dxfId="50" priority="28" operator="lessThan">
      <formula>$U$7</formula>
    </cfRule>
  </conditionalFormatting>
  <conditionalFormatting sqref="V10">
    <cfRule type="cellIs" dxfId="49" priority="27" operator="lessThan">
      <formula>$V$7</formula>
    </cfRule>
  </conditionalFormatting>
  <conditionalFormatting sqref="X10">
    <cfRule type="cellIs" dxfId="48" priority="26" operator="lessThan">
      <formula>$X$7</formula>
    </cfRule>
  </conditionalFormatting>
  <conditionalFormatting sqref="Y10">
    <cfRule type="cellIs" dxfId="47" priority="25" operator="lessThan">
      <formula>$Y$7</formula>
    </cfRule>
  </conditionalFormatting>
  <conditionalFormatting sqref="AA10">
    <cfRule type="cellIs" dxfId="46" priority="24" operator="lessThan">
      <formula>$AA$7</formula>
    </cfRule>
  </conditionalFormatting>
  <conditionalFormatting sqref="AB10">
    <cfRule type="cellIs" dxfId="45" priority="23" operator="lessThan">
      <formula>$AB$7</formula>
    </cfRule>
  </conditionalFormatting>
  <conditionalFormatting sqref="AD10">
    <cfRule type="cellIs" dxfId="44" priority="22" operator="lessThan">
      <formula>$AD$7</formula>
    </cfRule>
  </conditionalFormatting>
  <conditionalFormatting sqref="AE10">
    <cfRule type="cellIs" dxfId="43" priority="21" operator="lessThan">
      <formula>$AE$7</formula>
    </cfRule>
  </conditionalFormatting>
  <conditionalFormatting sqref="F10">
    <cfRule type="cellIs" dxfId="42" priority="20" operator="lessThan">
      <formula>$F$7</formula>
    </cfRule>
  </conditionalFormatting>
  <conditionalFormatting sqref="G10">
    <cfRule type="cellIs" dxfId="41" priority="19" operator="lessThan">
      <formula>$G$7</formula>
    </cfRule>
  </conditionalFormatting>
  <conditionalFormatting sqref="I10">
    <cfRule type="cellIs" dxfId="40" priority="18" operator="lessThan">
      <formula>$I$7</formula>
    </cfRule>
  </conditionalFormatting>
  <conditionalFormatting sqref="J10">
    <cfRule type="cellIs" dxfId="39" priority="17" operator="lessThan">
      <formula>$J$7</formula>
    </cfRule>
  </conditionalFormatting>
  <conditionalFormatting sqref="O10">
    <cfRule type="cellIs" dxfId="38" priority="16" operator="lessThan">
      <formula>$O$7</formula>
    </cfRule>
  </conditionalFormatting>
  <conditionalFormatting sqref="P10">
    <cfRule type="cellIs" dxfId="37" priority="15" operator="lessThan">
      <formula>$P$7</formula>
    </cfRule>
  </conditionalFormatting>
  <conditionalFormatting sqref="R10">
    <cfRule type="cellIs" dxfId="36" priority="14" operator="lessThan">
      <formula>$R$7</formula>
    </cfRule>
  </conditionalFormatting>
  <conditionalFormatting sqref="S10">
    <cfRule type="cellIs" dxfId="35" priority="13" operator="lessThan">
      <formula>$S$7</formula>
    </cfRule>
  </conditionalFormatting>
  <conditionalFormatting sqref="U10">
    <cfRule type="cellIs" dxfId="34" priority="12" operator="lessThan">
      <formula>$U$7</formula>
    </cfRule>
  </conditionalFormatting>
  <conditionalFormatting sqref="V10">
    <cfRule type="cellIs" dxfId="33" priority="11" operator="lessThan">
      <formula>$V$7</formula>
    </cfRule>
  </conditionalFormatting>
  <conditionalFormatting sqref="X10">
    <cfRule type="cellIs" dxfId="32" priority="10" operator="lessThan">
      <formula>$X$7</formula>
    </cfRule>
  </conditionalFormatting>
  <conditionalFormatting sqref="Y10">
    <cfRule type="cellIs" dxfId="31" priority="9" operator="lessThan">
      <formula>$Y$7</formula>
    </cfRule>
  </conditionalFormatting>
  <conditionalFormatting sqref="AA10">
    <cfRule type="cellIs" dxfId="30" priority="8" operator="lessThan">
      <formula>$AA$7</formula>
    </cfRule>
  </conditionalFormatting>
  <conditionalFormatting sqref="AB10">
    <cfRule type="cellIs" dxfId="29" priority="7" operator="lessThan">
      <formula>$AB$7</formula>
    </cfRule>
  </conditionalFormatting>
  <conditionalFormatting sqref="AD10">
    <cfRule type="cellIs" dxfId="28" priority="6" operator="lessThan">
      <formula>$AD$7</formula>
    </cfRule>
  </conditionalFormatting>
  <conditionalFormatting sqref="AE10">
    <cfRule type="cellIs" dxfId="27" priority="5" operator="lessThan">
      <formula>$AE$7</formula>
    </cfRule>
  </conditionalFormatting>
  <conditionalFormatting sqref="L10">
    <cfRule type="cellIs" dxfId="26" priority="4" operator="lessThan">
      <formula>$L$7</formula>
    </cfRule>
  </conditionalFormatting>
  <conditionalFormatting sqref="M10">
    <cfRule type="cellIs" dxfId="25" priority="3" operator="lessThan">
      <formula>$M$7</formula>
    </cfRule>
  </conditionalFormatting>
  <conditionalFormatting sqref="L10">
    <cfRule type="cellIs" dxfId="24" priority="2" operator="lessThan">
      <formula>$L$7</formula>
    </cfRule>
  </conditionalFormatting>
  <conditionalFormatting sqref="M10">
    <cfRule type="cellIs" dxfId="23" priority="1" operator="lessThan">
      <formula>$M$7</formula>
    </cfRule>
  </conditionalFormatting>
  <dataValidations count="2">
    <dataValidation type="decimal" allowBlank="1" showInputMessage="1" showErrorMessage="1" error="LIHAT PENGATURAN NILAI !" sqref="U7:V7 AJ7:AK7 R7:S7 AG7:AH7 AD7:AE7 I7:J7 F7:G7 AA7:AB7 X7:Y7 O7:P7 L7:M7 AA11:AB59 X11:Y59 U11:V59 R11:S59 O11:P59 L11:M59 I11:J59 F11:G59 AG10:AH59 AJ10:AK59 AD11:AE59">
      <formula1>$AW$12</formula1>
      <formula2>$AW$13</formula2>
    </dataValidation>
    <dataValidation type="decimal" allowBlank="1" showInputMessage="1" showErrorMessage="1" error="LIHAT PENGATURAN NILAI !" sqref="AD10:AE10 AA10:AB10 X10:Y10 U10:V10 R10:S10 O10:P10 L10:M10 I10:J10 F10:G10">
      <formula1>$AU$12</formula1>
      <formula2>$AU$13</formula2>
    </dataValidation>
  </dataValidations>
  <pageMargins left="0.31496062992125984" right="1.3779527559055118" top="0.35433070866141736" bottom="0.15748031496062992" header="0.31496062992125984" footer="0.31496062992125984"/>
  <pageSetup paperSize="5" scale="55" orientation="landscape" blackAndWhite="1" horizontalDpi="4294967293" verticalDpi="4294967293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X71"/>
  <sheetViews>
    <sheetView showGridLines="0" zoomScale="90" zoomScaleNormal="90" zoomScaleSheetLayoutView="80" workbookViewId="0">
      <pane xSplit="5" ySplit="9" topLeftCell="AF10" activePane="bottomRight" state="frozen"/>
      <selection pane="topRight" activeCell="F1" sqref="F1"/>
      <selection pane="bottomLeft" activeCell="A10" sqref="A10"/>
      <selection pane="bottomRight" activeCell="AV17" sqref="AV17"/>
    </sheetView>
  </sheetViews>
  <sheetFormatPr defaultColWidth="0" defaultRowHeight="14.5"/>
  <cols>
    <col min="1" max="1" width="2.1796875" style="1" customWidth="1"/>
    <col min="2" max="2" width="5.26953125" style="1" customWidth="1"/>
    <col min="3" max="3" width="7.81640625" style="1" customWidth="1"/>
    <col min="4" max="4" width="38.26953125" style="1" customWidth="1"/>
    <col min="5" max="5" width="8.81640625" style="1" customWidth="1"/>
    <col min="6" max="40" width="6.1796875" style="1" customWidth="1"/>
    <col min="41" max="41" width="8.453125" style="1" customWidth="1"/>
    <col min="42" max="42" width="7.54296875" style="1" customWidth="1"/>
    <col min="43" max="43" width="2.81640625" style="1" customWidth="1"/>
    <col min="44" max="44" width="11.1796875" style="1" customWidth="1"/>
    <col min="45" max="45" width="3.26953125" style="1" customWidth="1"/>
    <col min="46" max="46" width="2.1796875" style="1" customWidth="1"/>
    <col min="47" max="47" width="3.54296875" style="1" customWidth="1"/>
    <col min="48" max="48" width="19" style="1" customWidth="1"/>
    <col min="49" max="49" width="9.1796875" style="1" customWidth="1"/>
    <col min="50" max="50" width="2.453125" style="1" customWidth="1"/>
    <col min="51" max="16384" width="9.1796875" style="1" hidden="1"/>
  </cols>
  <sheetData>
    <row r="1" spans="2:49" ht="20">
      <c r="B1" s="447" t="s">
        <v>202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  <c r="AG1" s="447"/>
      <c r="AH1" s="447"/>
      <c r="AI1" s="447"/>
      <c r="AJ1" s="447"/>
      <c r="AK1" s="447"/>
      <c r="AL1" s="447"/>
      <c r="AM1" s="447"/>
      <c r="AN1" s="447"/>
      <c r="AO1" s="447"/>
      <c r="AP1" s="447"/>
    </row>
    <row r="2" spans="2:49" ht="6.65" customHeight="1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2:49" ht="15" customHeight="1">
      <c r="D3" s="27" t="s">
        <v>13</v>
      </c>
      <c r="E3" s="27"/>
      <c r="F3" s="29" t="s">
        <v>67</v>
      </c>
      <c r="G3" s="28" t="str">
        <f>UPPER(Nama_Sekolah)</f>
        <v>SEKOLAH DASAR NEGERI 1 GIRIHARJO</v>
      </c>
      <c r="H3" s="29"/>
      <c r="J3" s="28"/>
      <c r="K3" s="29"/>
      <c r="L3" s="213"/>
      <c r="M3" s="213"/>
      <c r="N3" s="29"/>
      <c r="O3" s="213"/>
      <c r="P3" s="213"/>
      <c r="Q3" s="29"/>
      <c r="R3" s="213"/>
      <c r="S3" s="213"/>
      <c r="T3" s="29"/>
      <c r="W3" s="29"/>
      <c r="Z3" s="29"/>
      <c r="AC3" s="29"/>
      <c r="AF3" s="29"/>
      <c r="AI3" s="29"/>
      <c r="AL3" s="29"/>
      <c r="AM3" s="29"/>
      <c r="AN3" s="29"/>
    </row>
    <row r="4" spans="2:49">
      <c r="D4" s="27" t="s">
        <v>14</v>
      </c>
      <c r="E4" s="27"/>
      <c r="F4" s="29" t="s">
        <v>67</v>
      </c>
      <c r="G4" s="28" t="str">
        <f>NPSN</f>
        <v>20311583</v>
      </c>
      <c r="H4" s="29"/>
      <c r="J4" s="28"/>
      <c r="K4" s="29"/>
      <c r="L4" s="213"/>
      <c r="M4" s="213"/>
      <c r="N4" s="29"/>
      <c r="O4" s="213"/>
      <c r="P4" s="213"/>
      <c r="Q4" s="29"/>
      <c r="R4" s="213"/>
      <c r="S4" s="213"/>
      <c r="T4" s="29"/>
      <c r="W4" s="29"/>
      <c r="Z4" s="29"/>
      <c r="AC4" s="29"/>
      <c r="AF4" s="29"/>
      <c r="AI4" s="29"/>
      <c r="AL4" s="29"/>
      <c r="AM4" s="29"/>
      <c r="AN4" s="29"/>
    </row>
    <row r="5" spans="2:49">
      <c r="D5" s="27" t="s">
        <v>68</v>
      </c>
      <c r="E5" s="27"/>
      <c r="F5" s="29" t="s">
        <v>67</v>
      </c>
      <c r="G5" s="28" t="str">
        <f>Kecamatan&amp;", "&amp;Kabupaten&amp;", "&amp;Provinsi</f>
        <v>Puhpelem, Wonogiri, Jawa Tengah</v>
      </c>
      <c r="H5" s="29"/>
      <c r="J5" s="28"/>
      <c r="K5" s="29"/>
      <c r="L5" s="213"/>
      <c r="M5" s="213"/>
      <c r="N5" s="29"/>
      <c r="O5" s="213"/>
      <c r="P5" s="213"/>
      <c r="Q5" s="29"/>
      <c r="R5" s="213"/>
      <c r="S5" s="213"/>
      <c r="T5" s="29"/>
      <c r="W5" s="29"/>
      <c r="Z5" s="29"/>
      <c r="AC5" s="29"/>
      <c r="AF5" s="29"/>
      <c r="AI5" s="29"/>
      <c r="AL5" s="29"/>
      <c r="AM5" s="29"/>
      <c r="AN5" s="29"/>
    </row>
    <row r="6" spans="2:49" ht="9" customHeight="1">
      <c r="D6" s="21"/>
      <c r="E6" s="21"/>
      <c r="F6" s="23"/>
      <c r="G6" s="23"/>
      <c r="H6" s="23"/>
      <c r="I6" s="22"/>
      <c r="J6" s="22"/>
      <c r="K6" s="23"/>
      <c r="N6" s="23"/>
      <c r="Q6" s="23"/>
      <c r="T6" s="23"/>
      <c r="W6" s="23"/>
      <c r="Z6" s="23"/>
      <c r="AC6" s="23"/>
      <c r="AF6" s="23"/>
      <c r="AI6" s="23"/>
      <c r="AL6" s="23"/>
      <c r="AM6" s="23"/>
      <c r="AN6" s="23"/>
    </row>
    <row r="7" spans="2:49" ht="17.25" customHeight="1">
      <c r="B7" s="459" t="s">
        <v>7</v>
      </c>
      <c r="C7" s="461" t="s">
        <v>43</v>
      </c>
      <c r="D7" s="459" t="s">
        <v>8</v>
      </c>
      <c r="E7" s="32" t="s">
        <v>66</v>
      </c>
      <c r="F7" s="51">
        <v>71</v>
      </c>
      <c r="G7" s="51">
        <v>71</v>
      </c>
      <c r="H7" s="444" t="s">
        <v>173</v>
      </c>
      <c r="I7" s="51">
        <v>71</v>
      </c>
      <c r="J7" s="51">
        <v>71</v>
      </c>
      <c r="K7" s="444" t="s">
        <v>173</v>
      </c>
      <c r="L7" s="51">
        <v>71</v>
      </c>
      <c r="M7" s="51">
        <v>71</v>
      </c>
      <c r="N7" s="444" t="s">
        <v>173</v>
      </c>
      <c r="O7" s="51">
        <v>65</v>
      </c>
      <c r="P7" s="51">
        <v>75</v>
      </c>
      <c r="Q7" s="444" t="s">
        <v>173</v>
      </c>
      <c r="R7" s="51">
        <v>70</v>
      </c>
      <c r="S7" s="51">
        <v>75</v>
      </c>
      <c r="T7" s="444" t="s">
        <v>173</v>
      </c>
      <c r="U7" s="51">
        <v>71</v>
      </c>
      <c r="V7" s="51">
        <v>71</v>
      </c>
      <c r="W7" s="444" t="s">
        <v>173</v>
      </c>
      <c r="X7" s="51">
        <v>71</v>
      </c>
      <c r="Y7" s="51">
        <v>71</v>
      </c>
      <c r="Z7" s="444" t="s">
        <v>173</v>
      </c>
      <c r="AA7" s="51">
        <v>71</v>
      </c>
      <c r="AB7" s="51">
        <v>71</v>
      </c>
      <c r="AC7" s="444" t="s">
        <v>173</v>
      </c>
      <c r="AD7" s="51">
        <v>71</v>
      </c>
      <c r="AE7" s="51">
        <v>71</v>
      </c>
      <c r="AF7" s="444" t="s">
        <v>173</v>
      </c>
      <c r="AG7" s="51">
        <v>71</v>
      </c>
      <c r="AH7" s="51">
        <v>71</v>
      </c>
      <c r="AI7" s="444" t="s">
        <v>173</v>
      </c>
      <c r="AJ7" s="51">
        <v>71</v>
      </c>
      <c r="AK7" s="51">
        <v>71</v>
      </c>
      <c r="AL7" s="444" t="s">
        <v>173</v>
      </c>
      <c r="AM7" s="465" t="s">
        <v>10</v>
      </c>
      <c r="AN7" s="466"/>
      <c r="AO7" s="455" t="s">
        <v>9</v>
      </c>
      <c r="AP7" s="457" t="s">
        <v>10</v>
      </c>
    </row>
    <row r="8" spans="2:49">
      <c r="B8" s="460"/>
      <c r="C8" s="462"/>
      <c r="D8" s="460"/>
      <c r="E8" s="32" t="s">
        <v>69</v>
      </c>
      <c r="F8" s="436" t="str">
        <f>PENGATURAN!F5</f>
        <v>Agama</v>
      </c>
      <c r="G8" s="437"/>
      <c r="H8" s="445"/>
      <c r="I8" s="438" t="str">
        <f>PENGATURAN!F6</f>
        <v>PKn</v>
      </c>
      <c r="J8" s="439"/>
      <c r="K8" s="445"/>
      <c r="L8" s="440" t="str">
        <f>PENGATURAN!F7</f>
        <v>B. Ind.</v>
      </c>
      <c r="M8" s="441"/>
      <c r="N8" s="445"/>
      <c r="O8" s="442" t="str">
        <f>PENGATURAN!F8</f>
        <v>MTK</v>
      </c>
      <c r="P8" s="443"/>
      <c r="Q8" s="445"/>
      <c r="R8" s="469" t="str">
        <f>PENGATURAN!F9</f>
        <v>IPA</v>
      </c>
      <c r="S8" s="470"/>
      <c r="T8" s="445"/>
      <c r="U8" s="448" t="str">
        <f>PENGATURAN!F10</f>
        <v xml:space="preserve">IPS </v>
      </c>
      <c r="V8" s="449"/>
      <c r="W8" s="445"/>
      <c r="X8" s="450" t="str">
        <f>PENGATURAN!F11</f>
        <v>SBdP</v>
      </c>
      <c r="Y8" s="449"/>
      <c r="Z8" s="445"/>
      <c r="AA8" s="451" t="str">
        <f>PENGATURAN!F12</f>
        <v>PJOK</v>
      </c>
      <c r="AB8" s="452"/>
      <c r="AC8" s="445"/>
      <c r="AD8" s="453" t="str">
        <f>PENGATURAN!F16</f>
        <v>Bahasa Jawa</v>
      </c>
      <c r="AE8" s="454"/>
      <c r="AF8" s="445"/>
      <c r="AG8" s="471">
        <f>PENGATURAN!F17</f>
        <v>0</v>
      </c>
      <c r="AH8" s="472"/>
      <c r="AI8" s="445"/>
      <c r="AJ8" s="463">
        <f>PENGATURAN!F18</f>
        <v>0</v>
      </c>
      <c r="AK8" s="464"/>
      <c r="AL8" s="445"/>
      <c r="AM8" s="467"/>
      <c r="AN8" s="468"/>
      <c r="AO8" s="456"/>
      <c r="AP8" s="458"/>
      <c r="AR8" s="34" t="s">
        <v>71</v>
      </c>
    </row>
    <row r="9" spans="2:49" ht="16" thickBot="1">
      <c r="B9" s="460"/>
      <c r="C9" s="462"/>
      <c r="D9" s="460"/>
      <c r="E9" s="220" t="s">
        <v>175</v>
      </c>
      <c r="F9" s="224" t="s">
        <v>171</v>
      </c>
      <c r="G9" s="223" t="s">
        <v>172</v>
      </c>
      <c r="H9" s="446"/>
      <c r="I9" s="222" t="s">
        <v>171</v>
      </c>
      <c r="J9" s="223" t="s">
        <v>172</v>
      </c>
      <c r="K9" s="446"/>
      <c r="L9" s="222" t="s">
        <v>171</v>
      </c>
      <c r="M9" s="223" t="s">
        <v>172</v>
      </c>
      <c r="N9" s="446"/>
      <c r="O9" s="222" t="s">
        <v>171</v>
      </c>
      <c r="P9" s="223" t="s">
        <v>172</v>
      </c>
      <c r="Q9" s="446"/>
      <c r="R9" s="222" t="s">
        <v>171</v>
      </c>
      <c r="S9" s="223" t="s">
        <v>172</v>
      </c>
      <c r="T9" s="446"/>
      <c r="U9" s="222" t="s">
        <v>171</v>
      </c>
      <c r="V9" s="223" t="s">
        <v>172</v>
      </c>
      <c r="W9" s="446"/>
      <c r="X9" s="222" t="s">
        <v>171</v>
      </c>
      <c r="Y9" s="223" t="s">
        <v>172</v>
      </c>
      <c r="Z9" s="446"/>
      <c r="AA9" s="222" t="s">
        <v>171</v>
      </c>
      <c r="AB9" s="223" t="s">
        <v>172</v>
      </c>
      <c r="AC9" s="446"/>
      <c r="AD9" s="222" t="s">
        <v>171</v>
      </c>
      <c r="AE9" s="223" t="s">
        <v>172</v>
      </c>
      <c r="AF9" s="446"/>
      <c r="AG9" s="222" t="s">
        <v>171</v>
      </c>
      <c r="AH9" s="223" t="s">
        <v>172</v>
      </c>
      <c r="AI9" s="446"/>
      <c r="AJ9" s="222" t="s">
        <v>171</v>
      </c>
      <c r="AK9" s="223" t="s">
        <v>172</v>
      </c>
      <c r="AL9" s="446"/>
      <c r="AM9" s="222" t="s">
        <v>171</v>
      </c>
      <c r="AN9" s="223" t="s">
        <v>172</v>
      </c>
      <c r="AO9" s="473"/>
      <c r="AP9" s="474"/>
      <c r="AR9" s="35" t="s">
        <v>176</v>
      </c>
    </row>
    <row r="10" spans="2:49" ht="15" thickTop="1">
      <c r="B10" s="226">
        <v>1</v>
      </c>
      <c r="C10" s="226" t="str">
        <f>'Data Siswa'!C4&amp;""</f>
        <v>2887</v>
      </c>
      <c r="D10" s="227" t="str">
        <f>'Data Siswa'!F4&amp;""</f>
        <v/>
      </c>
      <c r="E10" s="433"/>
      <c r="F10" s="225"/>
      <c r="G10" s="49"/>
      <c r="H10" s="221" t="str">
        <f t="shared" ref="H10:H59" si="0">IFERROR(AVERAGE(F10:G10),"")</f>
        <v/>
      </c>
      <c r="I10" s="49"/>
      <c r="J10" s="49"/>
      <c r="K10" s="221" t="str">
        <f t="shared" ref="K10:K59" si="1">IFERROR(AVERAGE(I10:J10),"")</f>
        <v/>
      </c>
      <c r="L10" s="49"/>
      <c r="M10" s="49"/>
      <c r="N10" s="221" t="str">
        <f t="shared" ref="N10:N59" si="2">IFERROR(AVERAGE(L10:M10),"")</f>
        <v/>
      </c>
      <c r="O10" s="49"/>
      <c r="P10" s="49"/>
      <c r="Q10" s="221" t="str">
        <f t="shared" ref="Q10:Q59" si="3">IFERROR(AVERAGE(O10:P10),"")</f>
        <v/>
      </c>
      <c r="R10" s="49"/>
      <c r="S10" s="49"/>
      <c r="T10" s="221" t="str">
        <f t="shared" ref="T10:T59" si="4">IFERROR(AVERAGE(R10:S10),"")</f>
        <v/>
      </c>
      <c r="U10" s="49"/>
      <c r="V10" s="49"/>
      <c r="W10" s="221" t="str">
        <f t="shared" ref="W10:W59" si="5">IFERROR(AVERAGE(U10:V10),"")</f>
        <v/>
      </c>
      <c r="X10" s="49"/>
      <c r="Y10" s="49"/>
      <c r="Z10" s="221" t="str">
        <f t="shared" ref="Z10:Z59" si="6">IFERROR(AVERAGE(X10:Y10),"")</f>
        <v/>
      </c>
      <c r="AA10" s="49"/>
      <c r="AB10" s="49"/>
      <c r="AC10" s="221" t="str">
        <f t="shared" ref="AC10:AC59" si="7">IFERROR(AVERAGE(AA10:AB10),"")</f>
        <v/>
      </c>
      <c r="AD10" s="49"/>
      <c r="AE10" s="49"/>
      <c r="AF10" s="221" t="str">
        <f t="shared" ref="AF10:AF59" si="8">IFERROR(AVERAGE(AD10:AE10),"")</f>
        <v/>
      </c>
      <c r="AG10" s="49"/>
      <c r="AH10" s="49"/>
      <c r="AI10" s="221" t="str">
        <f t="shared" ref="AI10:AI59" si="9">IFERROR(AVERAGE(AG10:AH10),"")</f>
        <v/>
      </c>
      <c r="AJ10" s="49"/>
      <c r="AK10" s="49"/>
      <c r="AL10" s="221" t="str">
        <f t="shared" ref="AL10:AL59" si="10">IFERROR(AVERAGE(AJ10:AK10),"")</f>
        <v/>
      </c>
      <c r="AM10" s="69" t="str">
        <f t="shared" ref="AM10:AM41" si="11">IFERROR(ROUND(AVERAGE(F10,I10,L10,O10,R10,U10,X10,AA10,AD10,AG10,AJ10),Digit_rata_rapor),"")</f>
        <v/>
      </c>
      <c r="AN10" s="69" t="str">
        <f t="shared" ref="AN10:AN41" si="12">IFERROR(ROUND(AVERAGE(G10,J10,M10,P10,S10,V10,Y10,AB10,AE10,AH10,AK10),Digit_rata_rapor),"")</f>
        <v/>
      </c>
      <c r="AO10" s="24" t="str">
        <f>IF(SUM(H10,K10,N10,Q10,T10,W10,Z10,AC10,AF10,AI10,AL10)=0,"",SUM(H10,K10,N10,Q10,T10,W10,Z10,AC10,AF10,AI10,AL10))</f>
        <v/>
      </c>
      <c r="AP10" s="284" t="str">
        <f t="shared" ref="AP10:AP41" si="13">IFERROR(ROUND(AVERAGE(H10,K10,N10,Q10,T10,W10,Z10,AC10,AF10,AI10,AL10),Digit_rata_rapor),"")</f>
        <v/>
      </c>
      <c r="AQ10" s="19"/>
      <c r="AR10" s="35" t="str">
        <f t="shared" ref="AR10:AR41" si="14">IF(D10="","Sembunyikan","Data")</f>
        <v>Sembunyikan</v>
      </c>
    </row>
    <row r="11" spans="2:49">
      <c r="B11" s="7">
        <v>2</v>
      </c>
      <c r="C11" s="7" t="str">
        <f>'Data Siswa'!C5&amp;""</f>
        <v>2888</v>
      </c>
      <c r="D11" s="11" t="str">
        <f>'Data Siswa'!F5&amp;""</f>
        <v/>
      </c>
      <c r="E11" s="434"/>
      <c r="F11" s="50"/>
      <c r="G11" s="50"/>
      <c r="H11" s="221" t="str">
        <f t="shared" si="0"/>
        <v/>
      </c>
      <c r="I11" s="50"/>
      <c r="J11" s="50"/>
      <c r="K11" s="221" t="str">
        <f t="shared" si="1"/>
        <v/>
      </c>
      <c r="L11" s="50"/>
      <c r="M11" s="50"/>
      <c r="N11" s="221" t="str">
        <f t="shared" si="2"/>
        <v/>
      </c>
      <c r="O11" s="50"/>
      <c r="P11" s="50"/>
      <c r="Q11" s="221" t="str">
        <f t="shared" si="3"/>
        <v/>
      </c>
      <c r="R11" s="50"/>
      <c r="S11" s="50"/>
      <c r="T11" s="221" t="str">
        <f t="shared" si="4"/>
        <v/>
      </c>
      <c r="U11" s="50"/>
      <c r="V11" s="50"/>
      <c r="W11" s="221" t="str">
        <f t="shared" si="5"/>
        <v/>
      </c>
      <c r="X11" s="50"/>
      <c r="Y11" s="50"/>
      <c r="Z11" s="221" t="str">
        <f t="shared" si="6"/>
        <v/>
      </c>
      <c r="AA11" s="50"/>
      <c r="AB11" s="50"/>
      <c r="AC11" s="221" t="str">
        <f t="shared" si="7"/>
        <v/>
      </c>
      <c r="AD11" s="50"/>
      <c r="AE11" s="50"/>
      <c r="AF11" s="221" t="str">
        <f t="shared" si="8"/>
        <v/>
      </c>
      <c r="AG11" s="50"/>
      <c r="AH11" s="50"/>
      <c r="AI11" s="221" t="str">
        <f t="shared" si="9"/>
        <v/>
      </c>
      <c r="AJ11" s="50"/>
      <c r="AK11" s="50"/>
      <c r="AL11" s="221" t="str">
        <f t="shared" si="10"/>
        <v/>
      </c>
      <c r="AM11" s="69" t="str">
        <f t="shared" si="11"/>
        <v/>
      </c>
      <c r="AN11" s="69" t="str">
        <f t="shared" si="12"/>
        <v/>
      </c>
      <c r="AO11" s="24" t="str">
        <f t="shared" ref="AO11:AO59" si="15">IF(SUM(H11,K11,N11,Q11,T11,W11,Z11,AC11,AF11,AI11,AL11)=0,"",SUM(H11,K11,N11,Q11,T11,W11,Z11,AC11,AF11,AI11,AL11))</f>
        <v/>
      </c>
      <c r="AP11" s="284" t="str">
        <f t="shared" si="13"/>
        <v/>
      </c>
      <c r="AR11" s="35" t="str">
        <f t="shared" si="14"/>
        <v>Sembunyikan</v>
      </c>
      <c r="AV11" s="4" t="s">
        <v>46</v>
      </c>
      <c r="AW11" s="5"/>
    </row>
    <row r="12" spans="2:49">
      <c r="B12" s="7">
        <v>3</v>
      </c>
      <c r="C12" s="7" t="str">
        <f>'Data Siswa'!C6&amp;""</f>
        <v>2886</v>
      </c>
      <c r="D12" s="11" t="str">
        <f>'Data Siswa'!F6&amp;""</f>
        <v/>
      </c>
      <c r="E12" s="434"/>
      <c r="F12" s="50"/>
      <c r="G12" s="50"/>
      <c r="H12" s="221" t="str">
        <f t="shared" si="0"/>
        <v/>
      </c>
      <c r="I12" s="50"/>
      <c r="J12" s="50"/>
      <c r="K12" s="221" t="str">
        <f t="shared" si="1"/>
        <v/>
      </c>
      <c r="L12" s="50"/>
      <c r="M12" s="50"/>
      <c r="N12" s="221" t="str">
        <f t="shared" si="2"/>
        <v/>
      </c>
      <c r="O12" s="50"/>
      <c r="P12" s="50"/>
      <c r="Q12" s="221" t="str">
        <f t="shared" si="3"/>
        <v/>
      </c>
      <c r="R12" s="50"/>
      <c r="S12" s="50"/>
      <c r="T12" s="221" t="str">
        <f t="shared" si="4"/>
        <v/>
      </c>
      <c r="U12" s="50"/>
      <c r="V12" s="50"/>
      <c r="W12" s="221" t="str">
        <f t="shared" si="5"/>
        <v/>
      </c>
      <c r="X12" s="50"/>
      <c r="Y12" s="50"/>
      <c r="Z12" s="221" t="str">
        <f t="shared" si="6"/>
        <v/>
      </c>
      <c r="AA12" s="50"/>
      <c r="AB12" s="50"/>
      <c r="AC12" s="221" t="str">
        <f t="shared" si="7"/>
        <v/>
      </c>
      <c r="AD12" s="50"/>
      <c r="AE12" s="50"/>
      <c r="AF12" s="221" t="str">
        <f t="shared" si="8"/>
        <v/>
      </c>
      <c r="AG12" s="50"/>
      <c r="AH12" s="50"/>
      <c r="AI12" s="221" t="str">
        <f t="shared" si="9"/>
        <v/>
      </c>
      <c r="AJ12" s="50"/>
      <c r="AK12" s="50"/>
      <c r="AL12" s="221" t="str">
        <f t="shared" si="10"/>
        <v/>
      </c>
      <c r="AM12" s="69" t="str">
        <f t="shared" si="11"/>
        <v/>
      </c>
      <c r="AN12" s="69" t="str">
        <f t="shared" si="12"/>
        <v/>
      </c>
      <c r="AO12" s="24" t="str">
        <f t="shared" si="15"/>
        <v/>
      </c>
      <c r="AP12" s="284" t="str">
        <f t="shared" si="13"/>
        <v/>
      </c>
      <c r="AR12" s="35" t="str">
        <f t="shared" si="14"/>
        <v>Sembunyikan</v>
      </c>
      <c r="AV12" s="6" t="s">
        <v>44</v>
      </c>
      <c r="AW12" s="2">
        <f>PENGATURAN!K5</f>
        <v>10</v>
      </c>
    </row>
    <row r="13" spans="2:49">
      <c r="B13" s="7">
        <v>4</v>
      </c>
      <c r="C13" s="7" t="str">
        <f>'Data Siswa'!C7&amp;""</f>
        <v>2864</v>
      </c>
      <c r="D13" s="11" t="str">
        <f>'Data Siswa'!F7&amp;""</f>
        <v/>
      </c>
      <c r="E13" s="434"/>
      <c r="F13" s="50"/>
      <c r="G13" s="50"/>
      <c r="H13" s="221" t="str">
        <f t="shared" si="0"/>
        <v/>
      </c>
      <c r="I13" s="50"/>
      <c r="J13" s="50"/>
      <c r="K13" s="221" t="str">
        <f t="shared" si="1"/>
        <v/>
      </c>
      <c r="L13" s="50"/>
      <c r="M13" s="50"/>
      <c r="N13" s="221" t="str">
        <f t="shared" si="2"/>
        <v/>
      </c>
      <c r="O13" s="50"/>
      <c r="P13" s="50"/>
      <c r="Q13" s="221" t="str">
        <f t="shared" si="3"/>
        <v/>
      </c>
      <c r="R13" s="50"/>
      <c r="S13" s="50"/>
      <c r="T13" s="221" t="str">
        <f t="shared" si="4"/>
        <v/>
      </c>
      <c r="U13" s="50"/>
      <c r="V13" s="50"/>
      <c r="W13" s="221" t="str">
        <f t="shared" si="5"/>
        <v/>
      </c>
      <c r="X13" s="50"/>
      <c r="Y13" s="50"/>
      <c r="Z13" s="221" t="str">
        <f t="shared" si="6"/>
        <v/>
      </c>
      <c r="AA13" s="50"/>
      <c r="AB13" s="50"/>
      <c r="AC13" s="221" t="str">
        <f t="shared" si="7"/>
        <v/>
      </c>
      <c r="AD13" s="50"/>
      <c r="AE13" s="50"/>
      <c r="AF13" s="221" t="str">
        <f t="shared" si="8"/>
        <v/>
      </c>
      <c r="AG13" s="50"/>
      <c r="AH13" s="50"/>
      <c r="AI13" s="221" t="str">
        <f t="shared" si="9"/>
        <v/>
      </c>
      <c r="AJ13" s="50"/>
      <c r="AK13" s="50"/>
      <c r="AL13" s="221" t="str">
        <f t="shared" si="10"/>
        <v/>
      </c>
      <c r="AM13" s="69" t="str">
        <f t="shared" si="11"/>
        <v/>
      </c>
      <c r="AN13" s="69" t="str">
        <f t="shared" si="12"/>
        <v/>
      </c>
      <c r="AO13" s="24" t="str">
        <f t="shared" si="15"/>
        <v/>
      </c>
      <c r="AP13" s="284" t="str">
        <f t="shared" si="13"/>
        <v/>
      </c>
      <c r="AR13" s="35" t="str">
        <f t="shared" si="14"/>
        <v>Sembunyikan</v>
      </c>
      <c r="AV13" s="6" t="s">
        <v>45</v>
      </c>
      <c r="AW13" s="2">
        <f>PENGATURAN!K6</f>
        <v>100</v>
      </c>
    </row>
    <row r="14" spans="2:49">
      <c r="B14" s="7">
        <v>5</v>
      </c>
      <c r="C14" s="7" t="str">
        <f>'Data Siswa'!C8&amp;""</f>
        <v>2890</v>
      </c>
      <c r="D14" s="11" t="str">
        <f>'Data Siswa'!F8&amp;""</f>
        <v/>
      </c>
      <c r="E14" s="434"/>
      <c r="F14" s="50"/>
      <c r="G14" s="50"/>
      <c r="H14" s="221" t="str">
        <f t="shared" si="0"/>
        <v/>
      </c>
      <c r="I14" s="50"/>
      <c r="J14" s="50"/>
      <c r="K14" s="221" t="str">
        <f t="shared" si="1"/>
        <v/>
      </c>
      <c r="L14" s="50"/>
      <c r="M14" s="50"/>
      <c r="N14" s="221" t="str">
        <f t="shared" si="2"/>
        <v/>
      </c>
      <c r="O14" s="50"/>
      <c r="P14" s="50"/>
      <c r="Q14" s="221" t="str">
        <f t="shared" si="3"/>
        <v/>
      </c>
      <c r="R14" s="50"/>
      <c r="S14" s="50"/>
      <c r="T14" s="221" t="str">
        <f t="shared" si="4"/>
        <v/>
      </c>
      <c r="U14" s="50"/>
      <c r="V14" s="50"/>
      <c r="W14" s="221" t="str">
        <f t="shared" si="5"/>
        <v/>
      </c>
      <c r="X14" s="50"/>
      <c r="Y14" s="50"/>
      <c r="Z14" s="221" t="str">
        <f t="shared" si="6"/>
        <v/>
      </c>
      <c r="AA14" s="50"/>
      <c r="AB14" s="50"/>
      <c r="AC14" s="221" t="str">
        <f t="shared" si="7"/>
        <v/>
      </c>
      <c r="AD14" s="50"/>
      <c r="AE14" s="50"/>
      <c r="AF14" s="221" t="str">
        <f t="shared" si="8"/>
        <v/>
      </c>
      <c r="AG14" s="50"/>
      <c r="AH14" s="50"/>
      <c r="AI14" s="221" t="str">
        <f t="shared" si="9"/>
        <v/>
      </c>
      <c r="AJ14" s="50"/>
      <c r="AK14" s="50"/>
      <c r="AL14" s="221" t="str">
        <f t="shared" si="10"/>
        <v/>
      </c>
      <c r="AM14" s="69" t="str">
        <f t="shared" si="11"/>
        <v/>
      </c>
      <c r="AN14" s="69" t="str">
        <f t="shared" si="12"/>
        <v/>
      </c>
      <c r="AO14" s="24" t="str">
        <f t="shared" si="15"/>
        <v/>
      </c>
      <c r="AP14" s="284" t="str">
        <f t="shared" si="13"/>
        <v/>
      </c>
      <c r="AR14" s="35" t="str">
        <f t="shared" si="14"/>
        <v>Sembunyikan</v>
      </c>
    </row>
    <row r="15" spans="2:49">
      <c r="B15" s="7">
        <v>6</v>
      </c>
      <c r="C15" s="7" t="str">
        <f>'Data Siswa'!C9&amp;""</f>
        <v>2889</v>
      </c>
      <c r="D15" s="11" t="str">
        <f>'Data Siswa'!F9&amp;""</f>
        <v/>
      </c>
      <c r="E15" s="434"/>
      <c r="F15" s="50"/>
      <c r="G15" s="50"/>
      <c r="H15" s="221" t="str">
        <f t="shared" si="0"/>
        <v/>
      </c>
      <c r="I15" s="50"/>
      <c r="J15" s="50"/>
      <c r="K15" s="221" t="str">
        <f t="shared" si="1"/>
        <v/>
      </c>
      <c r="L15" s="50"/>
      <c r="M15" s="50"/>
      <c r="N15" s="221" t="str">
        <f t="shared" si="2"/>
        <v/>
      </c>
      <c r="O15" s="50"/>
      <c r="P15" s="50"/>
      <c r="Q15" s="221" t="str">
        <f t="shared" si="3"/>
        <v/>
      </c>
      <c r="R15" s="50"/>
      <c r="S15" s="50"/>
      <c r="T15" s="221" t="str">
        <f t="shared" si="4"/>
        <v/>
      </c>
      <c r="U15" s="50"/>
      <c r="V15" s="50"/>
      <c r="W15" s="221" t="str">
        <f t="shared" si="5"/>
        <v/>
      </c>
      <c r="X15" s="50"/>
      <c r="Y15" s="50"/>
      <c r="Z15" s="221" t="str">
        <f t="shared" si="6"/>
        <v/>
      </c>
      <c r="AA15" s="50"/>
      <c r="AB15" s="50"/>
      <c r="AC15" s="221" t="str">
        <f t="shared" si="7"/>
        <v/>
      </c>
      <c r="AD15" s="50"/>
      <c r="AE15" s="50"/>
      <c r="AF15" s="221" t="str">
        <f t="shared" si="8"/>
        <v/>
      </c>
      <c r="AG15" s="50"/>
      <c r="AH15" s="50"/>
      <c r="AI15" s="221" t="str">
        <f t="shared" si="9"/>
        <v/>
      </c>
      <c r="AJ15" s="50"/>
      <c r="AK15" s="50"/>
      <c r="AL15" s="221" t="str">
        <f t="shared" si="10"/>
        <v/>
      </c>
      <c r="AM15" s="69" t="str">
        <f t="shared" si="11"/>
        <v/>
      </c>
      <c r="AN15" s="69" t="str">
        <f t="shared" si="12"/>
        <v/>
      </c>
      <c r="AO15" s="24" t="str">
        <f t="shared" si="15"/>
        <v/>
      </c>
      <c r="AP15" s="284" t="str">
        <f t="shared" si="13"/>
        <v/>
      </c>
      <c r="AR15" s="35" t="str">
        <f t="shared" si="14"/>
        <v>Sembunyikan</v>
      </c>
    </row>
    <row r="16" spans="2:49">
      <c r="B16" s="7">
        <v>7</v>
      </c>
      <c r="C16" s="7" t="str">
        <f>'Data Siswa'!C10&amp;""</f>
        <v>2891</v>
      </c>
      <c r="D16" s="11" t="str">
        <f>'Data Siswa'!F10&amp;""</f>
        <v/>
      </c>
      <c r="E16" s="434"/>
      <c r="F16" s="50"/>
      <c r="G16" s="50"/>
      <c r="H16" s="221" t="str">
        <f t="shared" si="0"/>
        <v/>
      </c>
      <c r="I16" s="50"/>
      <c r="J16" s="50"/>
      <c r="K16" s="221" t="str">
        <f t="shared" si="1"/>
        <v/>
      </c>
      <c r="L16" s="50"/>
      <c r="M16" s="50"/>
      <c r="N16" s="221" t="str">
        <f t="shared" si="2"/>
        <v/>
      </c>
      <c r="O16" s="50"/>
      <c r="P16" s="50"/>
      <c r="Q16" s="221" t="str">
        <f t="shared" si="3"/>
        <v/>
      </c>
      <c r="R16" s="50"/>
      <c r="S16" s="50"/>
      <c r="T16" s="221" t="str">
        <f t="shared" si="4"/>
        <v/>
      </c>
      <c r="U16" s="50"/>
      <c r="V16" s="50"/>
      <c r="W16" s="221" t="str">
        <f t="shared" si="5"/>
        <v/>
      </c>
      <c r="X16" s="50"/>
      <c r="Y16" s="50"/>
      <c r="Z16" s="221" t="str">
        <f t="shared" si="6"/>
        <v/>
      </c>
      <c r="AA16" s="50"/>
      <c r="AB16" s="50"/>
      <c r="AC16" s="221" t="str">
        <f t="shared" si="7"/>
        <v/>
      </c>
      <c r="AD16" s="50"/>
      <c r="AE16" s="50"/>
      <c r="AF16" s="221" t="str">
        <f t="shared" si="8"/>
        <v/>
      </c>
      <c r="AG16" s="50"/>
      <c r="AH16" s="50"/>
      <c r="AI16" s="221" t="str">
        <f t="shared" si="9"/>
        <v/>
      </c>
      <c r="AJ16" s="50"/>
      <c r="AK16" s="50"/>
      <c r="AL16" s="221" t="str">
        <f t="shared" si="10"/>
        <v/>
      </c>
      <c r="AM16" s="69" t="str">
        <f t="shared" si="11"/>
        <v/>
      </c>
      <c r="AN16" s="69" t="str">
        <f t="shared" si="12"/>
        <v/>
      </c>
      <c r="AO16" s="24" t="str">
        <f t="shared" si="15"/>
        <v/>
      </c>
      <c r="AP16" s="284" t="str">
        <f t="shared" si="13"/>
        <v/>
      </c>
      <c r="AR16" s="35" t="str">
        <f t="shared" si="14"/>
        <v>Sembunyikan</v>
      </c>
    </row>
    <row r="17" spans="2:44">
      <c r="B17" s="7">
        <v>8</v>
      </c>
      <c r="C17" s="7" t="str">
        <f>'Data Siswa'!C11&amp;""</f>
        <v>2893</v>
      </c>
      <c r="D17" s="11" t="str">
        <f>'Data Siswa'!F11&amp;""</f>
        <v/>
      </c>
      <c r="E17" s="434"/>
      <c r="F17" s="50"/>
      <c r="G17" s="50"/>
      <c r="H17" s="221" t="str">
        <f t="shared" si="0"/>
        <v/>
      </c>
      <c r="I17" s="50"/>
      <c r="J17" s="50"/>
      <c r="K17" s="221" t="str">
        <f t="shared" si="1"/>
        <v/>
      </c>
      <c r="L17" s="50"/>
      <c r="M17" s="50"/>
      <c r="N17" s="221" t="str">
        <f t="shared" si="2"/>
        <v/>
      </c>
      <c r="O17" s="50"/>
      <c r="P17" s="50"/>
      <c r="Q17" s="221" t="str">
        <f t="shared" si="3"/>
        <v/>
      </c>
      <c r="R17" s="50"/>
      <c r="S17" s="50"/>
      <c r="T17" s="221" t="str">
        <f t="shared" si="4"/>
        <v/>
      </c>
      <c r="U17" s="50"/>
      <c r="V17" s="50"/>
      <c r="W17" s="221" t="str">
        <f t="shared" si="5"/>
        <v/>
      </c>
      <c r="X17" s="50"/>
      <c r="Y17" s="50"/>
      <c r="Z17" s="221" t="str">
        <f t="shared" si="6"/>
        <v/>
      </c>
      <c r="AA17" s="50"/>
      <c r="AB17" s="50"/>
      <c r="AC17" s="221" t="str">
        <f t="shared" si="7"/>
        <v/>
      </c>
      <c r="AD17" s="50"/>
      <c r="AE17" s="50"/>
      <c r="AF17" s="221" t="str">
        <f t="shared" si="8"/>
        <v/>
      </c>
      <c r="AG17" s="50"/>
      <c r="AH17" s="50"/>
      <c r="AI17" s="221" t="str">
        <f t="shared" si="9"/>
        <v/>
      </c>
      <c r="AJ17" s="50"/>
      <c r="AK17" s="50"/>
      <c r="AL17" s="221" t="str">
        <f t="shared" si="10"/>
        <v/>
      </c>
      <c r="AM17" s="69" t="str">
        <f t="shared" si="11"/>
        <v/>
      </c>
      <c r="AN17" s="69" t="str">
        <f t="shared" si="12"/>
        <v/>
      </c>
      <c r="AO17" s="24" t="str">
        <f t="shared" si="15"/>
        <v/>
      </c>
      <c r="AP17" s="284" t="str">
        <f t="shared" si="13"/>
        <v/>
      </c>
      <c r="AR17" s="35" t="str">
        <f t="shared" si="14"/>
        <v>Sembunyikan</v>
      </c>
    </row>
    <row r="18" spans="2:44">
      <c r="B18" s="7">
        <v>9</v>
      </c>
      <c r="C18" s="7" t="str">
        <f>'Data Siswa'!C12&amp;""</f>
        <v>2892</v>
      </c>
      <c r="D18" s="11" t="str">
        <f>'Data Siswa'!F12&amp;""</f>
        <v/>
      </c>
      <c r="E18" s="434"/>
      <c r="F18" s="50"/>
      <c r="G18" s="50"/>
      <c r="H18" s="221" t="str">
        <f t="shared" si="0"/>
        <v/>
      </c>
      <c r="I18" s="50"/>
      <c r="J18" s="50"/>
      <c r="K18" s="221" t="str">
        <f t="shared" si="1"/>
        <v/>
      </c>
      <c r="L18" s="50"/>
      <c r="M18" s="50"/>
      <c r="N18" s="221" t="str">
        <f t="shared" si="2"/>
        <v/>
      </c>
      <c r="O18" s="50"/>
      <c r="P18" s="50"/>
      <c r="Q18" s="221" t="str">
        <f t="shared" si="3"/>
        <v/>
      </c>
      <c r="R18" s="50"/>
      <c r="S18" s="50"/>
      <c r="T18" s="221" t="str">
        <f t="shared" si="4"/>
        <v/>
      </c>
      <c r="U18" s="50"/>
      <c r="V18" s="50"/>
      <c r="W18" s="221" t="str">
        <f t="shared" si="5"/>
        <v/>
      </c>
      <c r="X18" s="50"/>
      <c r="Y18" s="50"/>
      <c r="Z18" s="221" t="str">
        <f t="shared" si="6"/>
        <v/>
      </c>
      <c r="AA18" s="50"/>
      <c r="AB18" s="50"/>
      <c r="AC18" s="221" t="str">
        <f t="shared" si="7"/>
        <v/>
      </c>
      <c r="AD18" s="50"/>
      <c r="AE18" s="50"/>
      <c r="AF18" s="221" t="str">
        <f t="shared" si="8"/>
        <v/>
      </c>
      <c r="AG18" s="50"/>
      <c r="AH18" s="50"/>
      <c r="AI18" s="221" t="str">
        <f t="shared" si="9"/>
        <v/>
      </c>
      <c r="AJ18" s="50"/>
      <c r="AK18" s="50"/>
      <c r="AL18" s="221" t="str">
        <f t="shared" si="10"/>
        <v/>
      </c>
      <c r="AM18" s="69" t="str">
        <f t="shared" si="11"/>
        <v/>
      </c>
      <c r="AN18" s="69" t="str">
        <f t="shared" si="12"/>
        <v/>
      </c>
      <c r="AO18" s="24" t="str">
        <f t="shared" si="15"/>
        <v/>
      </c>
      <c r="AP18" s="284" t="str">
        <f t="shared" si="13"/>
        <v/>
      </c>
      <c r="AR18" s="35" t="str">
        <f t="shared" si="14"/>
        <v>Sembunyikan</v>
      </c>
    </row>
    <row r="19" spans="2:44">
      <c r="B19" s="7">
        <v>10</v>
      </c>
      <c r="C19" s="7" t="str">
        <f>'Data Siswa'!C13&amp;""</f>
        <v>2894</v>
      </c>
      <c r="D19" s="11" t="str">
        <f>'Data Siswa'!F13&amp;""</f>
        <v/>
      </c>
      <c r="E19" s="434"/>
      <c r="F19" s="50"/>
      <c r="G19" s="50"/>
      <c r="H19" s="221" t="str">
        <f t="shared" si="0"/>
        <v/>
      </c>
      <c r="I19" s="50"/>
      <c r="J19" s="50"/>
      <c r="K19" s="221" t="str">
        <f t="shared" si="1"/>
        <v/>
      </c>
      <c r="L19" s="50"/>
      <c r="M19" s="50"/>
      <c r="N19" s="221" t="str">
        <f t="shared" si="2"/>
        <v/>
      </c>
      <c r="O19" s="50"/>
      <c r="P19" s="50"/>
      <c r="Q19" s="221" t="str">
        <f t="shared" si="3"/>
        <v/>
      </c>
      <c r="R19" s="50"/>
      <c r="S19" s="50"/>
      <c r="T19" s="221" t="str">
        <f t="shared" si="4"/>
        <v/>
      </c>
      <c r="U19" s="50"/>
      <c r="V19" s="50"/>
      <c r="W19" s="221" t="str">
        <f t="shared" si="5"/>
        <v/>
      </c>
      <c r="X19" s="50"/>
      <c r="Y19" s="50"/>
      <c r="Z19" s="221" t="str">
        <f t="shared" si="6"/>
        <v/>
      </c>
      <c r="AA19" s="50"/>
      <c r="AB19" s="50"/>
      <c r="AC19" s="221" t="str">
        <f t="shared" si="7"/>
        <v/>
      </c>
      <c r="AD19" s="50"/>
      <c r="AE19" s="50"/>
      <c r="AF19" s="221" t="str">
        <f t="shared" si="8"/>
        <v/>
      </c>
      <c r="AG19" s="50"/>
      <c r="AH19" s="50"/>
      <c r="AI19" s="221" t="str">
        <f t="shared" si="9"/>
        <v/>
      </c>
      <c r="AJ19" s="50"/>
      <c r="AK19" s="50"/>
      <c r="AL19" s="221" t="str">
        <f t="shared" si="10"/>
        <v/>
      </c>
      <c r="AM19" s="69" t="str">
        <f t="shared" si="11"/>
        <v/>
      </c>
      <c r="AN19" s="69" t="str">
        <f t="shared" si="12"/>
        <v/>
      </c>
      <c r="AO19" s="24" t="str">
        <f t="shared" si="15"/>
        <v/>
      </c>
      <c r="AP19" s="284" t="str">
        <f t="shared" si="13"/>
        <v/>
      </c>
      <c r="AR19" s="35" t="str">
        <f t="shared" si="14"/>
        <v>Sembunyikan</v>
      </c>
    </row>
    <row r="20" spans="2:44">
      <c r="B20" s="7">
        <v>11</v>
      </c>
      <c r="C20" s="7" t="str">
        <f>'Data Siswa'!C14&amp;""</f>
        <v>2895</v>
      </c>
      <c r="D20" s="11" t="str">
        <f>'Data Siswa'!F14&amp;""</f>
        <v/>
      </c>
      <c r="E20" s="434"/>
      <c r="F20" s="50"/>
      <c r="G20" s="50"/>
      <c r="H20" s="221" t="str">
        <f t="shared" si="0"/>
        <v/>
      </c>
      <c r="I20" s="50"/>
      <c r="J20" s="50"/>
      <c r="K20" s="221" t="str">
        <f t="shared" si="1"/>
        <v/>
      </c>
      <c r="L20" s="50"/>
      <c r="M20" s="50"/>
      <c r="N20" s="221" t="str">
        <f t="shared" si="2"/>
        <v/>
      </c>
      <c r="O20" s="50"/>
      <c r="P20" s="50"/>
      <c r="Q20" s="221" t="str">
        <f t="shared" si="3"/>
        <v/>
      </c>
      <c r="R20" s="50"/>
      <c r="S20" s="50"/>
      <c r="T20" s="221" t="str">
        <f t="shared" si="4"/>
        <v/>
      </c>
      <c r="U20" s="50"/>
      <c r="V20" s="50"/>
      <c r="W20" s="221" t="str">
        <f t="shared" si="5"/>
        <v/>
      </c>
      <c r="X20" s="50"/>
      <c r="Y20" s="50"/>
      <c r="Z20" s="221" t="str">
        <f t="shared" si="6"/>
        <v/>
      </c>
      <c r="AA20" s="50"/>
      <c r="AB20" s="50"/>
      <c r="AC20" s="221" t="str">
        <f t="shared" si="7"/>
        <v/>
      </c>
      <c r="AD20" s="50"/>
      <c r="AE20" s="50"/>
      <c r="AF20" s="221" t="str">
        <f t="shared" si="8"/>
        <v/>
      </c>
      <c r="AG20" s="50"/>
      <c r="AH20" s="50"/>
      <c r="AI20" s="221" t="str">
        <f t="shared" si="9"/>
        <v/>
      </c>
      <c r="AJ20" s="50"/>
      <c r="AK20" s="50"/>
      <c r="AL20" s="221" t="str">
        <f t="shared" si="10"/>
        <v/>
      </c>
      <c r="AM20" s="69" t="str">
        <f t="shared" si="11"/>
        <v/>
      </c>
      <c r="AN20" s="69" t="str">
        <f t="shared" si="12"/>
        <v/>
      </c>
      <c r="AO20" s="24" t="str">
        <f t="shared" si="15"/>
        <v/>
      </c>
      <c r="AP20" s="284" t="str">
        <f t="shared" si="13"/>
        <v/>
      </c>
      <c r="AR20" s="35" t="str">
        <f t="shared" si="14"/>
        <v>Sembunyikan</v>
      </c>
    </row>
    <row r="21" spans="2:44">
      <c r="B21" s="7">
        <v>12</v>
      </c>
      <c r="C21" s="7" t="str">
        <f>'Data Siswa'!C15&amp;""</f>
        <v>2896</v>
      </c>
      <c r="D21" s="11" t="str">
        <f>'Data Siswa'!F15&amp;""</f>
        <v/>
      </c>
      <c r="E21" s="434"/>
      <c r="F21" s="50"/>
      <c r="G21" s="50"/>
      <c r="H21" s="221" t="str">
        <f t="shared" si="0"/>
        <v/>
      </c>
      <c r="I21" s="50"/>
      <c r="J21" s="50"/>
      <c r="K21" s="221" t="str">
        <f t="shared" si="1"/>
        <v/>
      </c>
      <c r="L21" s="50"/>
      <c r="M21" s="50"/>
      <c r="N21" s="221" t="str">
        <f t="shared" si="2"/>
        <v/>
      </c>
      <c r="O21" s="50"/>
      <c r="P21" s="50"/>
      <c r="Q21" s="221" t="str">
        <f t="shared" si="3"/>
        <v/>
      </c>
      <c r="R21" s="50"/>
      <c r="S21" s="50"/>
      <c r="T21" s="221" t="str">
        <f t="shared" si="4"/>
        <v/>
      </c>
      <c r="U21" s="50"/>
      <c r="V21" s="50"/>
      <c r="W21" s="221" t="str">
        <f t="shared" si="5"/>
        <v/>
      </c>
      <c r="X21" s="50"/>
      <c r="Y21" s="50"/>
      <c r="Z21" s="221" t="str">
        <f t="shared" si="6"/>
        <v/>
      </c>
      <c r="AA21" s="50"/>
      <c r="AB21" s="50"/>
      <c r="AC21" s="221" t="str">
        <f t="shared" si="7"/>
        <v/>
      </c>
      <c r="AD21" s="50"/>
      <c r="AE21" s="50"/>
      <c r="AF21" s="221" t="str">
        <f t="shared" si="8"/>
        <v/>
      </c>
      <c r="AG21" s="50"/>
      <c r="AH21" s="50"/>
      <c r="AI21" s="221" t="str">
        <f t="shared" si="9"/>
        <v/>
      </c>
      <c r="AJ21" s="50"/>
      <c r="AK21" s="50"/>
      <c r="AL21" s="221" t="str">
        <f t="shared" si="10"/>
        <v/>
      </c>
      <c r="AM21" s="69" t="str">
        <f t="shared" si="11"/>
        <v/>
      </c>
      <c r="AN21" s="69" t="str">
        <f t="shared" si="12"/>
        <v/>
      </c>
      <c r="AO21" s="24" t="str">
        <f t="shared" si="15"/>
        <v/>
      </c>
      <c r="AP21" s="284" t="str">
        <f t="shared" si="13"/>
        <v/>
      </c>
      <c r="AR21" s="35" t="str">
        <f t="shared" si="14"/>
        <v>Sembunyikan</v>
      </c>
    </row>
    <row r="22" spans="2:44">
      <c r="B22" s="7">
        <v>13</v>
      </c>
      <c r="C22" s="7" t="str">
        <f>'Data Siswa'!C16&amp;""</f>
        <v>2897</v>
      </c>
      <c r="D22" s="11" t="str">
        <f>'Data Siswa'!F16&amp;""</f>
        <v/>
      </c>
      <c r="E22" s="434"/>
      <c r="F22" s="50"/>
      <c r="G22" s="50"/>
      <c r="H22" s="221" t="str">
        <f t="shared" si="0"/>
        <v/>
      </c>
      <c r="I22" s="50"/>
      <c r="J22" s="50"/>
      <c r="K22" s="221" t="str">
        <f t="shared" si="1"/>
        <v/>
      </c>
      <c r="L22" s="50"/>
      <c r="M22" s="50"/>
      <c r="N22" s="221" t="str">
        <f t="shared" si="2"/>
        <v/>
      </c>
      <c r="O22" s="50"/>
      <c r="P22" s="50"/>
      <c r="Q22" s="221" t="str">
        <f t="shared" si="3"/>
        <v/>
      </c>
      <c r="R22" s="50"/>
      <c r="S22" s="50"/>
      <c r="T22" s="221" t="str">
        <f t="shared" si="4"/>
        <v/>
      </c>
      <c r="U22" s="50"/>
      <c r="V22" s="50"/>
      <c r="W22" s="221" t="str">
        <f t="shared" si="5"/>
        <v/>
      </c>
      <c r="X22" s="50"/>
      <c r="Y22" s="50"/>
      <c r="Z22" s="221" t="str">
        <f t="shared" si="6"/>
        <v/>
      </c>
      <c r="AA22" s="50"/>
      <c r="AB22" s="50"/>
      <c r="AC22" s="221" t="str">
        <f t="shared" si="7"/>
        <v/>
      </c>
      <c r="AD22" s="50"/>
      <c r="AE22" s="50"/>
      <c r="AF22" s="221" t="str">
        <f t="shared" si="8"/>
        <v/>
      </c>
      <c r="AG22" s="50"/>
      <c r="AH22" s="50"/>
      <c r="AI22" s="221" t="str">
        <f t="shared" si="9"/>
        <v/>
      </c>
      <c r="AJ22" s="50"/>
      <c r="AK22" s="50"/>
      <c r="AL22" s="221" t="str">
        <f t="shared" si="10"/>
        <v/>
      </c>
      <c r="AM22" s="69" t="str">
        <f t="shared" si="11"/>
        <v/>
      </c>
      <c r="AN22" s="69" t="str">
        <f t="shared" si="12"/>
        <v/>
      </c>
      <c r="AO22" s="24" t="str">
        <f t="shared" si="15"/>
        <v/>
      </c>
      <c r="AP22" s="284" t="str">
        <f t="shared" si="13"/>
        <v/>
      </c>
      <c r="AR22" s="35" t="str">
        <f t="shared" si="14"/>
        <v>Sembunyikan</v>
      </c>
    </row>
    <row r="23" spans="2:44">
      <c r="B23" s="7">
        <v>14</v>
      </c>
      <c r="C23" s="7" t="str">
        <f>'Data Siswa'!C17&amp;""</f>
        <v>2898</v>
      </c>
      <c r="D23" s="11" t="str">
        <f>'Data Siswa'!F17&amp;""</f>
        <v/>
      </c>
      <c r="E23" s="434"/>
      <c r="F23" s="50"/>
      <c r="G23" s="50"/>
      <c r="H23" s="221" t="str">
        <f t="shared" si="0"/>
        <v/>
      </c>
      <c r="I23" s="50"/>
      <c r="J23" s="50"/>
      <c r="K23" s="221" t="str">
        <f t="shared" si="1"/>
        <v/>
      </c>
      <c r="L23" s="50"/>
      <c r="M23" s="50"/>
      <c r="N23" s="221" t="str">
        <f t="shared" si="2"/>
        <v/>
      </c>
      <c r="O23" s="50"/>
      <c r="P23" s="50"/>
      <c r="Q23" s="221" t="str">
        <f t="shared" si="3"/>
        <v/>
      </c>
      <c r="R23" s="50"/>
      <c r="S23" s="50"/>
      <c r="T23" s="221" t="str">
        <f t="shared" si="4"/>
        <v/>
      </c>
      <c r="U23" s="50"/>
      <c r="V23" s="50"/>
      <c r="W23" s="221" t="str">
        <f t="shared" si="5"/>
        <v/>
      </c>
      <c r="X23" s="50"/>
      <c r="Y23" s="50"/>
      <c r="Z23" s="221" t="str">
        <f t="shared" si="6"/>
        <v/>
      </c>
      <c r="AA23" s="50"/>
      <c r="AB23" s="50"/>
      <c r="AC23" s="221" t="str">
        <f t="shared" si="7"/>
        <v/>
      </c>
      <c r="AD23" s="50"/>
      <c r="AE23" s="50"/>
      <c r="AF23" s="221" t="str">
        <f t="shared" si="8"/>
        <v/>
      </c>
      <c r="AG23" s="50"/>
      <c r="AH23" s="50"/>
      <c r="AI23" s="221" t="str">
        <f t="shared" si="9"/>
        <v/>
      </c>
      <c r="AJ23" s="50"/>
      <c r="AK23" s="50"/>
      <c r="AL23" s="221" t="str">
        <f t="shared" si="10"/>
        <v/>
      </c>
      <c r="AM23" s="69" t="str">
        <f t="shared" si="11"/>
        <v/>
      </c>
      <c r="AN23" s="69" t="str">
        <f t="shared" si="12"/>
        <v/>
      </c>
      <c r="AO23" s="24" t="str">
        <f t="shared" si="15"/>
        <v/>
      </c>
      <c r="AP23" s="284" t="str">
        <f t="shared" si="13"/>
        <v/>
      </c>
      <c r="AR23" s="35" t="str">
        <f t="shared" si="14"/>
        <v>Sembunyikan</v>
      </c>
    </row>
    <row r="24" spans="2:44">
      <c r="B24" s="7">
        <v>15</v>
      </c>
      <c r="C24" s="7" t="str">
        <f>'Data Siswa'!C18&amp;""</f>
        <v>2900</v>
      </c>
      <c r="D24" s="11" t="str">
        <f>'Data Siswa'!F18&amp;""</f>
        <v/>
      </c>
      <c r="E24" s="434"/>
      <c r="F24" s="50"/>
      <c r="G24" s="50"/>
      <c r="H24" s="221" t="str">
        <f t="shared" si="0"/>
        <v/>
      </c>
      <c r="I24" s="50"/>
      <c r="J24" s="50"/>
      <c r="K24" s="221" t="str">
        <f t="shared" si="1"/>
        <v/>
      </c>
      <c r="L24" s="50"/>
      <c r="M24" s="50"/>
      <c r="N24" s="221" t="str">
        <f t="shared" si="2"/>
        <v/>
      </c>
      <c r="O24" s="50"/>
      <c r="P24" s="50"/>
      <c r="Q24" s="221" t="str">
        <f t="shared" si="3"/>
        <v/>
      </c>
      <c r="R24" s="50"/>
      <c r="S24" s="50"/>
      <c r="T24" s="221" t="str">
        <f t="shared" si="4"/>
        <v/>
      </c>
      <c r="U24" s="50"/>
      <c r="V24" s="50"/>
      <c r="W24" s="221" t="str">
        <f t="shared" si="5"/>
        <v/>
      </c>
      <c r="X24" s="50"/>
      <c r="Y24" s="50"/>
      <c r="Z24" s="221" t="str">
        <f t="shared" si="6"/>
        <v/>
      </c>
      <c r="AA24" s="50"/>
      <c r="AB24" s="50"/>
      <c r="AC24" s="221" t="str">
        <f t="shared" si="7"/>
        <v/>
      </c>
      <c r="AD24" s="50"/>
      <c r="AE24" s="50"/>
      <c r="AF24" s="221" t="str">
        <f t="shared" si="8"/>
        <v/>
      </c>
      <c r="AG24" s="50"/>
      <c r="AH24" s="50"/>
      <c r="AI24" s="221" t="str">
        <f t="shared" si="9"/>
        <v/>
      </c>
      <c r="AJ24" s="50"/>
      <c r="AK24" s="50"/>
      <c r="AL24" s="221" t="str">
        <f t="shared" si="10"/>
        <v/>
      </c>
      <c r="AM24" s="69" t="str">
        <f t="shared" si="11"/>
        <v/>
      </c>
      <c r="AN24" s="69" t="str">
        <f t="shared" si="12"/>
        <v/>
      </c>
      <c r="AO24" s="24" t="str">
        <f t="shared" si="15"/>
        <v/>
      </c>
      <c r="AP24" s="284" t="str">
        <f t="shared" si="13"/>
        <v/>
      </c>
      <c r="AR24" s="35" t="str">
        <f t="shared" si="14"/>
        <v>Sembunyikan</v>
      </c>
    </row>
    <row r="25" spans="2:44">
      <c r="B25" s="7">
        <v>16</v>
      </c>
      <c r="C25" s="7" t="str">
        <f>'Data Siswa'!C19&amp;""</f>
        <v>2899</v>
      </c>
      <c r="D25" s="11" t="str">
        <f>'Data Siswa'!F19&amp;""</f>
        <v/>
      </c>
      <c r="E25" s="434"/>
      <c r="F25" s="50"/>
      <c r="G25" s="50"/>
      <c r="H25" s="221" t="str">
        <f t="shared" si="0"/>
        <v/>
      </c>
      <c r="I25" s="50"/>
      <c r="J25" s="50"/>
      <c r="K25" s="221" t="str">
        <f t="shared" si="1"/>
        <v/>
      </c>
      <c r="L25" s="50"/>
      <c r="M25" s="50"/>
      <c r="N25" s="221" t="str">
        <f t="shared" si="2"/>
        <v/>
      </c>
      <c r="O25" s="50"/>
      <c r="P25" s="50"/>
      <c r="Q25" s="221" t="str">
        <f t="shared" si="3"/>
        <v/>
      </c>
      <c r="R25" s="50"/>
      <c r="S25" s="50"/>
      <c r="T25" s="221" t="str">
        <f t="shared" si="4"/>
        <v/>
      </c>
      <c r="U25" s="50"/>
      <c r="V25" s="50"/>
      <c r="W25" s="221" t="str">
        <f t="shared" si="5"/>
        <v/>
      </c>
      <c r="X25" s="50"/>
      <c r="Y25" s="50"/>
      <c r="Z25" s="221" t="str">
        <f t="shared" si="6"/>
        <v/>
      </c>
      <c r="AA25" s="50"/>
      <c r="AB25" s="50"/>
      <c r="AC25" s="221" t="str">
        <f t="shared" si="7"/>
        <v/>
      </c>
      <c r="AD25" s="50"/>
      <c r="AE25" s="50"/>
      <c r="AF25" s="221" t="str">
        <f t="shared" si="8"/>
        <v/>
      </c>
      <c r="AG25" s="50"/>
      <c r="AH25" s="50"/>
      <c r="AI25" s="221" t="str">
        <f t="shared" si="9"/>
        <v/>
      </c>
      <c r="AJ25" s="50"/>
      <c r="AK25" s="50"/>
      <c r="AL25" s="221" t="str">
        <f t="shared" si="10"/>
        <v/>
      </c>
      <c r="AM25" s="69" t="str">
        <f t="shared" si="11"/>
        <v/>
      </c>
      <c r="AN25" s="69" t="str">
        <f t="shared" si="12"/>
        <v/>
      </c>
      <c r="AO25" s="24" t="str">
        <f t="shared" si="15"/>
        <v/>
      </c>
      <c r="AP25" s="284" t="str">
        <f t="shared" si="13"/>
        <v/>
      </c>
      <c r="AR25" s="35" t="str">
        <f t="shared" si="14"/>
        <v>Sembunyikan</v>
      </c>
    </row>
    <row r="26" spans="2:44">
      <c r="B26" s="7">
        <v>17</v>
      </c>
      <c r="C26" s="7" t="str">
        <f>'Data Siswa'!C20&amp;""</f>
        <v>2901</v>
      </c>
      <c r="D26" s="11" t="str">
        <f>'Data Siswa'!F20&amp;""</f>
        <v/>
      </c>
      <c r="E26" s="434"/>
      <c r="F26" s="50"/>
      <c r="G26" s="50"/>
      <c r="H26" s="221" t="str">
        <f t="shared" si="0"/>
        <v/>
      </c>
      <c r="I26" s="50"/>
      <c r="J26" s="50"/>
      <c r="K26" s="221" t="str">
        <f t="shared" si="1"/>
        <v/>
      </c>
      <c r="L26" s="50"/>
      <c r="M26" s="50"/>
      <c r="N26" s="221" t="str">
        <f t="shared" si="2"/>
        <v/>
      </c>
      <c r="O26" s="50"/>
      <c r="P26" s="50"/>
      <c r="Q26" s="221" t="str">
        <f t="shared" si="3"/>
        <v/>
      </c>
      <c r="R26" s="50"/>
      <c r="S26" s="50"/>
      <c r="T26" s="221" t="str">
        <f t="shared" si="4"/>
        <v/>
      </c>
      <c r="U26" s="50"/>
      <c r="V26" s="50"/>
      <c r="W26" s="221" t="str">
        <f t="shared" si="5"/>
        <v/>
      </c>
      <c r="X26" s="50"/>
      <c r="Y26" s="50"/>
      <c r="Z26" s="221" t="str">
        <f t="shared" si="6"/>
        <v/>
      </c>
      <c r="AA26" s="50"/>
      <c r="AB26" s="50"/>
      <c r="AC26" s="221" t="str">
        <f t="shared" si="7"/>
        <v/>
      </c>
      <c r="AD26" s="50"/>
      <c r="AE26" s="50"/>
      <c r="AF26" s="221" t="str">
        <f t="shared" si="8"/>
        <v/>
      </c>
      <c r="AG26" s="50"/>
      <c r="AH26" s="50"/>
      <c r="AI26" s="221" t="str">
        <f t="shared" si="9"/>
        <v/>
      </c>
      <c r="AJ26" s="50"/>
      <c r="AK26" s="50"/>
      <c r="AL26" s="221" t="str">
        <f t="shared" si="10"/>
        <v/>
      </c>
      <c r="AM26" s="69" t="str">
        <f t="shared" si="11"/>
        <v/>
      </c>
      <c r="AN26" s="69" t="str">
        <f t="shared" si="12"/>
        <v/>
      </c>
      <c r="AO26" s="24" t="str">
        <f t="shared" si="15"/>
        <v/>
      </c>
      <c r="AP26" s="284" t="str">
        <f t="shared" si="13"/>
        <v/>
      </c>
      <c r="AR26" s="35" t="str">
        <f t="shared" si="14"/>
        <v>Sembunyikan</v>
      </c>
    </row>
    <row r="27" spans="2:44">
      <c r="B27" s="7">
        <v>18</v>
      </c>
      <c r="C27" s="7" t="str">
        <f>'Data Siswa'!C21&amp;""</f>
        <v>2902</v>
      </c>
      <c r="D27" s="11" t="str">
        <f>'Data Siswa'!F21&amp;""</f>
        <v/>
      </c>
      <c r="E27" s="434"/>
      <c r="F27" s="50"/>
      <c r="G27" s="50"/>
      <c r="H27" s="221" t="str">
        <f t="shared" si="0"/>
        <v/>
      </c>
      <c r="I27" s="50"/>
      <c r="J27" s="50"/>
      <c r="K27" s="221" t="str">
        <f t="shared" si="1"/>
        <v/>
      </c>
      <c r="L27" s="50"/>
      <c r="M27" s="50"/>
      <c r="N27" s="221" t="str">
        <f t="shared" si="2"/>
        <v/>
      </c>
      <c r="O27" s="50"/>
      <c r="P27" s="50"/>
      <c r="Q27" s="221" t="str">
        <f t="shared" si="3"/>
        <v/>
      </c>
      <c r="R27" s="50"/>
      <c r="S27" s="50"/>
      <c r="T27" s="221" t="str">
        <f t="shared" si="4"/>
        <v/>
      </c>
      <c r="U27" s="50"/>
      <c r="V27" s="50"/>
      <c r="W27" s="221" t="str">
        <f t="shared" si="5"/>
        <v/>
      </c>
      <c r="X27" s="50"/>
      <c r="Y27" s="50"/>
      <c r="Z27" s="221" t="str">
        <f t="shared" si="6"/>
        <v/>
      </c>
      <c r="AA27" s="50"/>
      <c r="AB27" s="50"/>
      <c r="AC27" s="221" t="str">
        <f t="shared" si="7"/>
        <v/>
      </c>
      <c r="AD27" s="50"/>
      <c r="AE27" s="50"/>
      <c r="AF27" s="221" t="str">
        <f t="shared" si="8"/>
        <v/>
      </c>
      <c r="AG27" s="50"/>
      <c r="AH27" s="50"/>
      <c r="AI27" s="221" t="str">
        <f t="shared" si="9"/>
        <v/>
      </c>
      <c r="AJ27" s="50"/>
      <c r="AK27" s="50"/>
      <c r="AL27" s="221" t="str">
        <f t="shared" si="10"/>
        <v/>
      </c>
      <c r="AM27" s="69" t="str">
        <f t="shared" si="11"/>
        <v/>
      </c>
      <c r="AN27" s="69" t="str">
        <f t="shared" si="12"/>
        <v/>
      </c>
      <c r="AO27" s="24" t="str">
        <f t="shared" si="15"/>
        <v/>
      </c>
      <c r="AP27" s="284" t="str">
        <f t="shared" si="13"/>
        <v/>
      </c>
      <c r="AR27" s="35" t="str">
        <f t="shared" si="14"/>
        <v>Sembunyikan</v>
      </c>
    </row>
    <row r="28" spans="2:44">
      <c r="B28" s="7">
        <v>19</v>
      </c>
      <c r="C28" s="7" t="str">
        <f>'Data Siswa'!C22&amp;""</f>
        <v>2904</v>
      </c>
      <c r="D28" s="11" t="str">
        <f>'Data Siswa'!F22&amp;""</f>
        <v/>
      </c>
      <c r="E28" s="434"/>
      <c r="F28" s="50"/>
      <c r="G28" s="50"/>
      <c r="H28" s="221" t="str">
        <f t="shared" si="0"/>
        <v/>
      </c>
      <c r="I28" s="50"/>
      <c r="J28" s="50"/>
      <c r="K28" s="221" t="str">
        <f t="shared" si="1"/>
        <v/>
      </c>
      <c r="L28" s="50"/>
      <c r="M28" s="50"/>
      <c r="N28" s="221" t="str">
        <f t="shared" si="2"/>
        <v/>
      </c>
      <c r="O28" s="50"/>
      <c r="P28" s="50"/>
      <c r="Q28" s="221" t="str">
        <f t="shared" si="3"/>
        <v/>
      </c>
      <c r="R28" s="50"/>
      <c r="S28" s="50"/>
      <c r="T28" s="221" t="str">
        <f t="shared" si="4"/>
        <v/>
      </c>
      <c r="U28" s="50"/>
      <c r="V28" s="50"/>
      <c r="W28" s="221" t="str">
        <f t="shared" si="5"/>
        <v/>
      </c>
      <c r="X28" s="50"/>
      <c r="Y28" s="50"/>
      <c r="Z28" s="221" t="str">
        <f t="shared" si="6"/>
        <v/>
      </c>
      <c r="AA28" s="50"/>
      <c r="AB28" s="50"/>
      <c r="AC28" s="221" t="str">
        <f t="shared" si="7"/>
        <v/>
      </c>
      <c r="AD28" s="50"/>
      <c r="AE28" s="50"/>
      <c r="AF28" s="221" t="str">
        <f t="shared" si="8"/>
        <v/>
      </c>
      <c r="AG28" s="50"/>
      <c r="AH28" s="50"/>
      <c r="AI28" s="221" t="str">
        <f t="shared" si="9"/>
        <v/>
      </c>
      <c r="AJ28" s="50"/>
      <c r="AK28" s="50"/>
      <c r="AL28" s="221" t="str">
        <f t="shared" si="10"/>
        <v/>
      </c>
      <c r="AM28" s="69" t="str">
        <f t="shared" si="11"/>
        <v/>
      </c>
      <c r="AN28" s="69" t="str">
        <f t="shared" si="12"/>
        <v/>
      </c>
      <c r="AO28" s="24" t="str">
        <f t="shared" si="15"/>
        <v/>
      </c>
      <c r="AP28" s="284" t="str">
        <f t="shared" si="13"/>
        <v/>
      </c>
      <c r="AR28" s="35" t="str">
        <f t="shared" si="14"/>
        <v>Sembunyikan</v>
      </c>
    </row>
    <row r="29" spans="2:44">
      <c r="B29" s="7">
        <v>20</v>
      </c>
      <c r="C29" s="7" t="str">
        <f>'Data Siswa'!C23&amp;""</f>
        <v>1111</v>
      </c>
      <c r="D29" s="11" t="str">
        <f>'Data Siswa'!F23&amp;""</f>
        <v/>
      </c>
      <c r="E29" s="434"/>
      <c r="F29" s="50"/>
      <c r="G29" s="50"/>
      <c r="H29" s="221" t="str">
        <f t="shared" si="0"/>
        <v/>
      </c>
      <c r="I29" s="50"/>
      <c r="J29" s="50"/>
      <c r="K29" s="221" t="str">
        <f t="shared" si="1"/>
        <v/>
      </c>
      <c r="L29" s="50"/>
      <c r="M29" s="50"/>
      <c r="N29" s="221" t="str">
        <f t="shared" si="2"/>
        <v/>
      </c>
      <c r="O29" s="50"/>
      <c r="P29" s="50"/>
      <c r="Q29" s="221" t="str">
        <f t="shared" si="3"/>
        <v/>
      </c>
      <c r="R29" s="50"/>
      <c r="S29" s="50"/>
      <c r="T29" s="221" t="str">
        <f t="shared" si="4"/>
        <v/>
      </c>
      <c r="U29" s="50"/>
      <c r="V29" s="50"/>
      <c r="W29" s="221" t="str">
        <f t="shared" si="5"/>
        <v/>
      </c>
      <c r="X29" s="50"/>
      <c r="Y29" s="50"/>
      <c r="Z29" s="221" t="str">
        <f t="shared" si="6"/>
        <v/>
      </c>
      <c r="AA29" s="50"/>
      <c r="AB29" s="50"/>
      <c r="AC29" s="221" t="str">
        <f t="shared" si="7"/>
        <v/>
      </c>
      <c r="AD29" s="50"/>
      <c r="AE29" s="50"/>
      <c r="AF29" s="221" t="str">
        <f t="shared" si="8"/>
        <v/>
      </c>
      <c r="AG29" s="50"/>
      <c r="AH29" s="50"/>
      <c r="AI29" s="221" t="str">
        <f t="shared" si="9"/>
        <v/>
      </c>
      <c r="AJ29" s="50"/>
      <c r="AK29" s="50"/>
      <c r="AL29" s="221" t="str">
        <f t="shared" si="10"/>
        <v/>
      </c>
      <c r="AM29" s="69" t="str">
        <f t="shared" si="11"/>
        <v/>
      </c>
      <c r="AN29" s="69" t="str">
        <f t="shared" si="12"/>
        <v/>
      </c>
      <c r="AO29" s="24" t="str">
        <f t="shared" si="15"/>
        <v/>
      </c>
      <c r="AP29" s="284" t="str">
        <f t="shared" si="13"/>
        <v/>
      </c>
      <c r="AR29" s="35" t="str">
        <f t="shared" si="14"/>
        <v>Sembunyikan</v>
      </c>
    </row>
    <row r="30" spans="2:44">
      <c r="B30" s="7">
        <v>21</v>
      </c>
      <c r="C30" s="7" t="str">
        <f>'Data Siswa'!C24&amp;""</f>
        <v>2906</v>
      </c>
      <c r="D30" s="11" t="str">
        <f>'Data Siswa'!F24&amp;""</f>
        <v/>
      </c>
      <c r="E30" s="434"/>
      <c r="F30" s="50"/>
      <c r="G30" s="50"/>
      <c r="H30" s="221" t="str">
        <f t="shared" si="0"/>
        <v/>
      </c>
      <c r="I30" s="50"/>
      <c r="J30" s="50"/>
      <c r="K30" s="221" t="str">
        <f t="shared" si="1"/>
        <v/>
      </c>
      <c r="L30" s="50"/>
      <c r="M30" s="50"/>
      <c r="N30" s="221" t="str">
        <f t="shared" si="2"/>
        <v/>
      </c>
      <c r="O30" s="50"/>
      <c r="P30" s="50"/>
      <c r="Q30" s="221" t="str">
        <f t="shared" si="3"/>
        <v/>
      </c>
      <c r="R30" s="50"/>
      <c r="S30" s="50"/>
      <c r="T30" s="221" t="str">
        <f t="shared" si="4"/>
        <v/>
      </c>
      <c r="U30" s="50"/>
      <c r="V30" s="50"/>
      <c r="W30" s="221" t="str">
        <f t="shared" si="5"/>
        <v/>
      </c>
      <c r="X30" s="50"/>
      <c r="Y30" s="50"/>
      <c r="Z30" s="221" t="str">
        <f t="shared" si="6"/>
        <v/>
      </c>
      <c r="AA30" s="50"/>
      <c r="AB30" s="50"/>
      <c r="AC30" s="221" t="str">
        <f t="shared" si="7"/>
        <v/>
      </c>
      <c r="AD30" s="50"/>
      <c r="AE30" s="50"/>
      <c r="AF30" s="221" t="str">
        <f t="shared" si="8"/>
        <v/>
      </c>
      <c r="AG30" s="50"/>
      <c r="AH30" s="50"/>
      <c r="AI30" s="221" t="str">
        <f t="shared" si="9"/>
        <v/>
      </c>
      <c r="AJ30" s="50"/>
      <c r="AK30" s="50"/>
      <c r="AL30" s="221" t="str">
        <f t="shared" si="10"/>
        <v/>
      </c>
      <c r="AM30" s="69" t="str">
        <f t="shared" si="11"/>
        <v/>
      </c>
      <c r="AN30" s="69" t="str">
        <f t="shared" si="12"/>
        <v/>
      </c>
      <c r="AO30" s="24" t="str">
        <f t="shared" si="15"/>
        <v/>
      </c>
      <c r="AP30" s="284" t="str">
        <f t="shared" si="13"/>
        <v/>
      </c>
      <c r="AR30" s="35" t="str">
        <f t="shared" si="14"/>
        <v>Sembunyikan</v>
      </c>
    </row>
    <row r="31" spans="2:44">
      <c r="B31" s="7">
        <v>22</v>
      </c>
      <c r="C31" s="7" t="str">
        <f>'Data Siswa'!C25&amp;""</f>
        <v/>
      </c>
      <c r="D31" s="11" t="str">
        <f>'Data Siswa'!F25&amp;""</f>
        <v/>
      </c>
      <c r="E31" s="434"/>
      <c r="F31" s="50"/>
      <c r="G31" s="50"/>
      <c r="H31" s="221" t="str">
        <f t="shared" si="0"/>
        <v/>
      </c>
      <c r="I31" s="50"/>
      <c r="J31" s="50"/>
      <c r="K31" s="221" t="str">
        <f t="shared" si="1"/>
        <v/>
      </c>
      <c r="L31" s="50"/>
      <c r="M31" s="50"/>
      <c r="N31" s="221" t="str">
        <f t="shared" si="2"/>
        <v/>
      </c>
      <c r="O31" s="50"/>
      <c r="P31" s="50"/>
      <c r="Q31" s="221" t="str">
        <f t="shared" si="3"/>
        <v/>
      </c>
      <c r="R31" s="50"/>
      <c r="S31" s="50"/>
      <c r="T31" s="221" t="str">
        <f t="shared" si="4"/>
        <v/>
      </c>
      <c r="U31" s="50"/>
      <c r="V31" s="50"/>
      <c r="W31" s="221" t="str">
        <f t="shared" si="5"/>
        <v/>
      </c>
      <c r="X31" s="50"/>
      <c r="Y31" s="50"/>
      <c r="Z31" s="221" t="str">
        <f t="shared" si="6"/>
        <v/>
      </c>
      <c r="AA31" s="50"/>
      <c r="AB31" s="50"/>
      <c r="AC31" s="221" t="str">
        <f t="shared" si="7"/>
        <v/>
      </c>
      <c r="AD31" s="50"/>
      <c r="AE31" s="50"/>
      <c r="AF31" s="221" t="str">
        <f t="shared" si="8"/>
        <v/>
      </c>
      <c r="AG31" s="50"/>
      <c r="AH31" s="50"/>
      <c r="AI31" s="221" t="str">
        <f t="shared" si="9"/>
        <v/>
      </c>
      <c r="AJ31" s="50"/>
      <c r="AK31" s="50"/>
      <c r="AL31" s="221" t="str">
        <f t="shared" si="10"/>
        <v/>
      </c>
      <c r="AM31" s="69" t="str">
        <f t="shared" si="11"/>
        <v/>
      </c>
      <c r="AN31" s="69" t="str">
        <f t="shared" si="12"/>
        <v/>
      </c>
      <c r="AO31" s="24" t="str">
        <f t="shared" si="15"/>
        <v/>
      </c>
      <c r="AP31" s="284" t="str">
        <f t="shared" si="13"/>
        <v/>
      </c>
      <c r="AR31" s="35" t="str">
        <f t="shared" si="14"/>
        <v>Sembunyikan</v>
      </c>
    </row>
    <row r="32" spans="2:44">
      <c r="B32" s="7">
        <v>23</v>
      </c>
      <c r="C32" s="7" t="str">
        <f>'Data Siswa'!C26&amp;""</f>
        <v/>
      </c>
      <c r="D32" s="11" t="str">
        <f>'Data Siswa'!F26&amp;""</f>
        <v/>
      </c>
      <c r="E32" s="434"/>
      <c r="F32" s="50"/>
      <c r="G32" s="50"/>
      <c r="H32" s="221" t="str">
        <f t="shared" si="0"/>
        <v/>
      </c>
      <c r="I32" s="50"/>
      <c r="J32" s="50"/>
      <c r="K32" s="221" t="str">
        <f t="shared" si="1"/>
        <v/>
      </c>
      <c r="L32" s="50"/>
      <c r="M32" s="50"/>
      <c r="N32" s="221" t="str">
        <f t="shared" si="2"/>
        <v/>
      </c>
      <c r="O32" s="50"/>
      <c r="P32" s="50"/>
      <c r="Q32" s="221" t="str">
        <f t="shared" si="3"/>
        <v/>
      </c>
      <c r="R32" s="50"/>
      <c r="S32" s="50"/>
      <c r="T32" s="221" t="str">
        <f t="shared" si="4"/>
        <v/>
      </c>
      <c r="U32" s="50"/>
      <c r="V32" s="50"/>
      <c r="W32" s="221" t="str">
        <f t="shared" si="5"/>
        <v/>
      </c>
      <c r="X32" s="50"/>
      <c r="Y32" s="50"/>
      <c r="Z32" s="221" t="str">
        <f t="shared" si="6"/>
        <v/>
      </c>
      <c r="AA32" s="50"/>
      <c r="AB32" s="50"/>
      <c r="AC32" s="221" t="str">
        <f t="shared" si="7"/>
        <v/>
      </c>
      <c r="AD32" s="50"/>
      <c r="AE32" s="50"/>
      <c r="AF32" s="221" t="str">
        <f t="shared" si="8"/>
        <v/>
      </c>
      <c r="AG32" s="50"/>
      <c r="AH32" s="50"/>
      <c r="AI32" s="221" t="str">
        <f t="shared" si="9"/>
        <v/>
      </c>
      <c r="AJ32" s="50"/>
      <c r="AK32" s="50"/>
      <c r="AL32" s="221" t="str">
        <f t="shared" si="10"/>
        <v/>
      </c>
      <c r="AM32" s="69" t="str">
        <f t="shared" si="11"/>
        <v/>
      </c>
      <c r="AN32" s="69" t="str">
        <f t="shared" si="12"/>
        <v/>
      </c>
      <c r="AO32" s="24" t="str">
        <f t="shared" si="15"/>
        <v/>
      </c>
      <c r="AP32" s="284" t="str">
        <f t="shared" si="13"/>
        <v/>
      </c>
      <c r="AR32" s="35" t="str">
        <f t="shared" si="14"/>
        <v>Sembunyikan</v>
      </c>
    </row>
    <row r="33" spans="2:44">
      <c r="B33" s="7">
        <v>24</v>
      </c>
      <c r="C33" s="7" t="str">
        <f>'Data Siswa'!C27&amp;""</f>
        <v/>
      </c>
      <c r="D33" s="11" t="str">
        <f>'Data Siswa'!F27&amp;""</f>
        <v/>
      </c>
      <c r="E33" s="434"/>
      <c r="F33" s="50"/>
      <c r="G33" s="50"/>
      <c r="H33" s="221" t="str">
        <f t="shared" si="0"/>
        <v/>
      </c>
      <c r="I33" s="50"/>
      <c r="J33" s="50"/>
      <c r="K33" s="221" t="str">
        <f t="shared" si="1"/>
        <v/>
      </c>
      <c r="L33" s="50"/>
      <c r="M33" s="50"/>
      <c r="N33" s="221" t="str">
        <f t="shared" si="2"/>
        <v/>
      </c>
      <c r="O33" s="50"/>
      <c r="P33" s="50"/>
      <c r="Q33" s="221" t="str">
        <f t="shared" si="3"/>
        <v/>
      </c>
      <c r="R33" s="50"/>
      <c r="S33" s="50"/>
      <c r="T33" s="221" t="str">
        <f t="shared" si="4"/>
        <v/>
      </c>
      <c r="U33" s="50"/>
      <c r="V33" s="50"/>
      <c r="W33" s="221" t="str">
        <f t="shared" si="5"/>
        <v/>
      </c>
      <c r="X33" s="50"/>
      <c r="Y33" s="50"/>
      <c r="Z33" s="221" t="str">
        <f t="shared" si="6"/>
        <v/>
      </c>
      <c r="AA33" s="50"/>
      <c r="AB33" s="50"/>
      <c r="AC33" s="221" t="str">
        <f t="shared" si="7"/>
        <v/>
      </c>
      <c r="AD33" s="50"/>
      <c r="AE33" s="50"/>
      <c r="AF33" s="221" t="str">
        <f t="shared" si="8"/>
        <v/>
      </c>
      <c r="AG33" s="50"/>
      <c r="AH33" s="50"/>
      <c r="AI33" s="221" t="str">
        <f t="shared" si="9"/>
        <v/>
      </c>
      <c r="AJ33" s="50"/>
      <c r="AK33" s="50"/>
      <c r="AL33" s="221" t="str">
        <f t="shared" si="10"/>
        <v/>
      </c>
      <c r="AM33" s="69" t="str">
        <f t="shared" si="11"/>
        <v/>
      </c>
      <c r="AN33" s="69" t="str">
        <f t="shared" si="12"/>
        <v/>
      </c>
      <c r="AO33" s="24" t="str">
        <f t="shared" si="15"/>
        <v/>
      </c>
      <c r="AP33" s="284" t="str">
        <f t="shared" si="13"/>
        <v/>
      </c>
      <c r="AR33" s="35" t="str">
        <f t="shared" si="14"/>
        <v>Sembunyikan</v>
      </c>
    </row>
    <row r="34" spans="2:44">
      <c r="B34" s="7">
        <v>25</v>
      </c>
      <c r="C34" s="7" t="str">
        <f>'Data Siswa'!C28&amp;""</f>
        <v/>
      </c>
      <c r="D34" s="11" t="str">
        <f>'Data Siswa'!F28&amp;""</f>
        <v/>
      </c>
      <c r="E34" s="434"/>
      <c r="F34" s="50"/>
      <c r="G34" s="50"/>
      <c r="H34" s="221" t="str">
        <f t="shared" si="0"/>
        <v/>
      </c>
      <c r="I34" s="50"/>
      <c r="J34" s="50"/>
      <c r="K34" s="221" t="str">
        <f t="shared" si="1"/>
        <v/>
      </c>
      <c r="L34" s="50"/>
      <c r="M34" s="50"/>
      <c r="N34" s="221" t="str">
        <f t="shared" si="2"/>
        <v/>
      </c>
      <c r="O34" s="50"/>
      <c r="P34" s="50"/>
      <c r="Q34" s="221" t="str">
        <f t="shared" si="3"/>
        <v/>
      </c>
      <c r="R34" s="50"/>
      <c r="S34" s="50"/>
      <c r="T34" s="221" t="str">
        <f t="shared" si="4"/>
        <v/>
      </c>
      <c r="U34" s="50"/>
      <c r="V34" s="50"/>
      <c r="W34" s="221" t="str">
        <f t="shared" si="5"/>
        <v/>
      </c>
      <c r="X34" s="50"/>
      <c r="Y34" s="50"/>
      <c r="Z34" s="221" t="str">
        <f t="shared" si="6"/>
        <v/>
      </c>
      <c r="AA34" s="50"/>
      <c r="AB34" s="50"/>
      <c r="AC34" s="221" t="str">
        <f t="shared" si="7"/>
        <v/>
      </c>
      <c r="AD34" s="50"/>
      <c r="AE34" s="50"/>
      <c r="AF34" s="221" t="str">
        <f t="shared" si="8"/>
        <v/>
      </c>
      <c r="AG34" s="50"/>
      <c r="AH34" s="50"/>
      <c r="AI34" s="221" t="str">
        <f t="shared" si="9"/>
        <v/>
      </c>
      <c r="AJ34" s="50"/>
      <c r="AK34" s="50"/>
      <c r="AL34" s="221" t="str">
        <f t="shared" si="10"/>
        <v/>
      </c>
      <c r="AM34" s="69" t="str">
        <f t="shared" si="11"/>
        <v/>
      </c>
      <c r="AN34" s="69" t="str">
        <f t="shared" si="12"/>
        <v/>
      </c>
      <c r="AO34" s="24" t="str">
        <f t="shared" si="15"/>
        <v/>
      </c>
      <c r="AP34" s="284" t="str">
        <f t="shared" si="13"/>
        <v/>
      </c>
      <c r="AR34" s="35" t="str">
        <f t="shared" si="14"/>
        <v>Sembunyikan</v>
      </c>
    </row>
    <row r="35" spans="2:44">
      <c r="B35" s="7">
        <v>26</v>
      </c>
      <c r="C35" s="7" t="str">
        <f>'Data Siswa'!C29&amp;""</f>
        <v/>
      </c>
      <c r="D35" s="11" t="str">
        <f>'Data Siswa'!F29&amp;""</f>
        <v/>
      </c>
      <c r="E35" s="435"/>
      <c r="F35" s="50"/>
      <c r="G35" s="50"/>
      <c r="H35" s="221" t="str">
        <f t="shared" si="0"/>
        <v/>
      </c>
      <c r="I35" s="50"/>
      <c r="J35" s="50"/>
      <c r="K35" s="221" t="str">
        <f t="shared" si="1"/>
        <v/>
      </c>
      <c r="L35" s="50"/>
      <c r="M35" s="50"/>
      <c r="N35" s="221" t="str">
        <f t="shared" si="2"/>
        <v/>
      </c>
      <c r="O35" s="50"/>
      <c r="P35" s="50"/>
      <c r="Q35" s="221" t="str">
        <f t="shared" si="3"/>
        <v/>
      </c>
      <c r="R35" s="50"/>
      <c r="S35" s="50"/>
      <c r="T35" s="221" t="str">
        <f t="shared" si="4"/>
        <v/>
      </c>
      <c r="U35" s="50"/>
      <c r="V35" s="50"/>
      <c r="W35" s="221" t="str">
        <f t="shared" si="5"/>
        <v/>
      </c>
      <c r="X35" s="50"/>
      <c r="Y35" s="50"/>
      <c r="Z35" s="221" t="str">
        <f t="shared" si="6"/>
        <v/>
      </c>
      <c r="AA35" s="50"/>
      <c r="AB35" s="50"/>
      <c r="AC35" s="221" t="str">
        <f t="shared" si="7"/>
        <v/>
      </c>
      <c r="AD35" s="50"/>
      <c r="AE35" s="50"/>
      <c r="AF35" s="221" t="str">
        <f t="shared" si="8"/>
        <v/>
      </c>
      <c r="AG35" s="50"/>
      <c r="AH35" s="50"/>
      <c r="AI35" s="221" t="str">
        <f t="shared" si="9"/>
        <v/>
      </c>
      <c r="AJ35" s="50"/>
      <c r="AK35" s="50"/>
      <c r="AL35" s="221" t="str">
        <f t="shared" si="10"/>
        <v/>
      </c>
      <c r="AM35" s="69" t="str">
        <f t="shared" si="11"/>
        <v/>
      </c>
      <c r="AN35" s="69" t="str">
        <f t="shared" si="12"/>
        <v/>
      </c>
      <c r="AO35" s="24" t="str">
        <f t="shared" si="15"/>
        <v/>
      </c>
      <c r="AP35" s="284" t="str">
        <f t="shared" si="13"/>
        <v/>
      </c>
      <c r="AR35" s="35" t="str">
        <f t="shared" si="14"/>
        <v>Sembunyikan</v>
      </c>
    </row>
    <row r="36" spans="2:44">
      <c r="B36" s="7">
        <v>27</v>
      </c>
      <c r="C36" s="7" t="str">
        <f>'Data Siswa'!C30&amp;""</f>
        <v/>
      </c>
      <c r="D36" s="11" t="str">
        <f>'Data Siswa'!F30&amp;""</f>
        <v/>
      </c>
      <c r="E36" s="434"/>
      <c r="F36" s="50"/>
      <c r="G36" s="50"/>
      <c r="H36" s="221" t="str">
        <f t="shared" si="0"/>
        <v/>
      </c>
      <c r="I36" s="50"/>
      <c r="J36" s="50"/>
      <c r="K36" s="221" t="str">
        <f t="shared" si="1"/>
        <v/>
      </c>
      <c r="L36" s="50"/>
      <c r="M36" s="50"/>
      <c r="N36" s="221" t="str">
        <f t="shared" si="2"/>
        <v/>
      </c>
      <c r="O36" s="50"/>
      <c r="P36" s="50"/>
      <c r="Q36" s="221" t="str">
        <f t="shared" si="3"/>
        <v/>
      </c>
      <c r="R36" s="50"/>
      <c r="S36" s="50"/>
      <c r="T36" s="221" t="str">
        <f t="shared" si="4"/>
        <v/>
      </c>
      <c r="U36" s="50"/>
      <c r="V36" s="50"/>
      <c r="W36" s="221" t="str">
        <f t="shared" si="5"/>
        <v/>
      </c>
      <c r="X36" s="50"/>
      <c r="Y36" s="50"/>
      <c r="Z36" s="221" t="str">
        <f t="shared" si="6"/>
        <v/>
      </c>
      <c r="AA36" s="50"/>
      <c r="AB36" s="50"/>
      <c r="AC36" s="221" t="str">
        <f t="shared" si="7"/>
        <v/>
      </c>
      <c r="AD36" s="50"/>
      <c r="AE36" s="50"/>
      <c r="AF36" s="221" t="str">
        <f t="shared" si="8"/>
        <v/>
      </c>
      <c r="AG36" s="50"/>
      <c r="AH36" s="50"/>
      <c r="AI36" s="221" t="str">
        <f t="shared" si="9"/>
        <v/>
      </c>
      <c r="AJ36" s="50"/>
      <c r="AK36" s="50"/>
      <c r="AL36" s="221" t="str">
        <f t="shared" si="10"/>
        <v/>
      </c>
      <c r="AM36" s="69" t="str">
        <f t="shared" si="11"/>
        <v/>
      </c>
      <c r="AN36" s="69" t="str">
        <f t="shared" si="12"/>
        <v/>
      </c>
      <c r="AO36" s="24" t="str">
        <f t="shared" si="15"/>
        <v/>
      </c>
      <c r="AP36" s="284" t="str">
        <f t="shared" si="13"/>
        <v/>
      </c>
      <c r="AR36" s="35" t="str">
        <f t="shared" si="14"/>
        <v>Sembunyikan</v>
      </c>
    </row>
    <row r="37" spans="2:44">
      <c r="B37" s="7">
        <v>28</v>
      </c>
      <c r="C37" s="7" t="str">
        <f>'Data Siswa'!C31&amp;""</f>
        <v/>
      </c>
      <c r="D37" s="11" t="str">
        <f>'Data Siswa'!F31&amp;""</f>
        <v/>
      </c>
      <c r="E37" s="434"/>
      <c r="F37" s="50"/>
      <c r="G37" s="50"/>
      <c r="H37" s="221" t="str">
        <f t="shared" si="0"/>
        <v/>
      </c>
      <c r="I37" s="50"/>
      <c r="J37" s="50"/>
      <c r="K37" s="221" t="str">
        <f t="shared" si="1"/>
        <v/>
      </c>
      <c r="L37" s="50"/>
      <c r="M37" s="50"/>
      <c r="N37" s="221" t="str">
        <f t="shared" si="2"/>
        <v/>
      </c>
      <c r="O37" s="50"/>
      <c r="P37" s="50"/>
      <c r="Q37" s="221" t="str">
        <f t="shared" si="3"/>
        <v/>
      </c>
      <c r="R37" s="50"/>
      <c r="S37" s="50"/>
      <c r="T37" s="221" t="str">
        <f t="shared" si="4"/>
        <v/>
      </c>
      <c r="U37" s="50"/>
      <c r="V37" s="50"/>
      <c r="W37" s="221" t="str">
        <f t="shared" si="5"/>
        <v/>
      </c>
      <c r="X37" s="50"/>
      <c r="Y37" s="50"/>
      <c r="Z37" s="221" t="str">
        <f t="shared" si="6"/>
        <v/>
      </c>
      <c r="AA37" s="50"/>
      <c r="AB37" s="50"/>
      <c r="AC37" s="221" t="str">
        <f t="shared" si="7"/>
        <v/>
      </c>
      <c r="AD37" s="50"/>
      <c r="AE37" s="50"/>
      <c r="AF37" s="221" t="str">
        <f t="shared" si="8"/>
        <v/>
      </c>
      <c r="AG37" s="50"/>
      <c r="AH37" s="50"/>
      <c r="AI37" s="221" t="str">
        <f t="shared" si="9"/>
        <v/>
      </c>
      <c r="AJ37" s="50"/>
      <c r="AK37" s="50"/>
      <c r="AL37" s="221" t="str">
        <f t="shared" si="10"/>
        <v/>
      </c>
      <c r="AM37" s="69" t="str">
        <f t="shared" si="11"/>
        <v/>
      </c>
      <c r="AN37" s="69" t="str">
        <f t="shared" si="12"/>
        <v/>
      </c>
      <c r="AO37" s="24" t="str">
        <f t="shared" si="15"/>
        <v/>
      </c>
      <c r="AP37" s="284" t="str">
        <f t="shared" si="13"/>
        <v/>
      </c>
      <c r="AR37" s="35" t="str">
        <f t="shared" si="14"/>
        <v>Sembunyikan</v>
      </c>
    </row>
    <row r="38" spans="2:44">
      <c r="B38" s="7">
        <v>29</v>
      </c>
      <c r="C38" s="7" t="str">
        <f>'Data Siswa'!C32&amp;""</f>
        <v/>
      </c>
      <c r="D38" s="11" t="str">
        <f>'Data Siswa'!F32&amp;""</f>
        <v/>
      </c>
      <c r="E38" s="434"/>
      <c r="F38" s="50"/>
      <c r="G38" s="50"/>
      <c r="H38" s="221" t="str">
        <f t="shared" si="0"/>
        <v/>
      </c>
      <c r="I38" s="50"/>
      <c r="J38" s="50"/>
      <c r="K38" s="221" t="str">
        <f t="shared" si="1"/>
        <v/>
      </c>
      <c r="L38" s="50"/>
      <c r="M38" s="50"/>
      <c r="N38" s="221" t="str">
        <f t="shared" si="2"/>
        <v/>
      </c>
      <c r="O38" s="50"/>
      <c r="P38" s="50"/>
      <c r="Q38" s="221" t="str">
        <f t="shared" si="3"/>
        <v/>
      </c>
      <c r="R38" s="50"/>
      <c r="S38" s="50"/>
      <c r="T38" s="221" t="str">
        <f t="shared" si="4"/>
        <v/>
      </c>
      <c r="U38" s="50"/>
      <c r="V38" s="50"/>
      <c r="W38" s="221" t="str">
        <f t="shared" si="5"/>
        <v/>
      </c>
      <c r="X38" s="50"/>
      <c r="Y38" s="50"/>
      <c r="Z38" s="221" t="str">
        <f t="shared" si="6"/>
        <v/>
      </c>
      <c r="AA38" s="50"/>
      <c r="AB38" s="50"/>
      <c r="AC38" s="221" t="str">
        <f t="shared" si="7"/>
        <v/>
      </c>
      <c r="AD38" s="50"/>
      <c r="AE38" s="50"/>
      <c r="AF38" s="221" t="str">
        <f t="shared" si="8"/>
        <v/>
      </c>
      <c r="AG38" s="50"/>
      <c r="AH38" s="50"/>
      <c r="AI38" s="221" t="str">
        <f t="shared" si="9"/>
        <v/>
      </c>
      <c r="AJ38" s="50"/>
      <c r="AK38" s="50"/>
      <c r="AL38" s="221" t="str">
        <f t="shared" si="10"/>
        <v/>
      </c>
      <c r="AM38" s="69" t="str">
        <f t="shared" si="11"/>
        <v/>
      </c>
      <c r="AN38" s="69" t="str">
        <f t="shared" si="12"/>
        <v/>
      </c>
      <c r="AO38" s="24" t="str">
        <f t="shared" si="15"/>
        <v/>
      </c>
      <c r="AP38" s="284" t="str">
        <f t="shared" si="13"/>
        <v/>
      </c>
      <c r="AR38" s="35" t="str">
        <f t="shared" si="14"/>
        <v>Sembunyikan</v>
      </c>
    </row>
    <row r="39" spans="2:44">
      <c r="B39" s="7">
        <v>30</v>
      </c>
      <c r="C39" s="7" t="str">
        <f>'Data Siswa'!C33&amp;""</f>
        <v/>
      </c>
      <c r="D39" s="11" t="str">
        <f>'Data Siswa'!F33&amp;""</f>
        <v/>
      </c>
      <c r="E39" s="434"/>
      <c r="F39" s="50"/>
      <c r="G39" s="50"/>
      <c r="H39" s="221" t="str">
        <f t="shared" si="0"/>
        <v/>
      </c>
      <c r="I39" s="50"/>
      <c r="J39" s="50"/>
      <c r="K39" s="221" t="str">
        <f t="shared" si="1"/>
        <v/>
      </c>
      <c r="L39" s="50"/>
      <c r="M39" s="50"/>
      <c r="N39" s="221" t="str">
        <f t="shared" si="2"/>
        <v/>
      </c>
      <c r="O39" s="50"/>
      <c r="P39" s="50"/>
      <c r="Q39" s="221" t="str">
        <f t="shared" si="3"/>
        <v/>
      </c>
      <c r="R39" s="50"/>
      <c r="S39" s="50"/>
      <c r="T39" s="221" t="str">
        <f t="shared" si="4"/>
        <v/>
      </c>
      <c r="U39" s="50"/>
      <c r="V39" s="50"/>
      <c r="W39" s="221" t="str">
        <f t="shared" si="5"/>
        <v/>
      </c>
      <c r="X39" s="50"/>
      <c r="Y39" s="50"/>
      <c r="Z39" s="221" t="str">
        <f t="shared" si="6"/>
        <v/>
      </c>
      <c r="AA39" s="50"/>
      <c r="AB39" s="50"/>
      <c r="AC39" s="221" t="str">
        <f t="shared" si="7"/>
        <v/>
      </c>
      <c r="AD39" s="50"/>
      <c r="AE39" s="50"/>
      <c r="AF39" s="221" t="str">
        <f t="shared" si="8"/>
        <v/>
      </c>
      <c r="AG39" s="50"/>
      <c r="AH39" s="50"/>
      <c r="AI39" s="221" t="str">
        <f t="shared" si="9"/>
        <v/>
      </c>
      <c r="AJ39" s="50"/>
      <c r="AK39" s="50"/>
      <c r="AL39" s="221" t="str">
        <f t="shared" si="10"/>
        <v/>
      </c>
      <c r="AM39" s="69" t="str">
        <f t="shared" si="11"/>
        <v/>
      </c>
      <c r="AN39" s="69" t="str">
        <f t="shared" si="12"/>
        <v/>
      </c>
      <c r="AO39" s="24" t="str">
        <f t="shared" si="15"/>
        <v/>
      </c>
      <c r="AP39" s="284" t="str">
        <f t="shared" si="13"/>
        <v/>
      </c>
      <c r="AR39" s="35" t="str">
        <f t="shared" si="14"/>
        <v>Sembunyikan</v>
      </c>
    </row>
    <row r="40" spans="2:44">
      <c r="B40" s="7">
        <v>31</v>
      </c>
      <c r="C40" s="7" t="str">
        <f>'Data Siswa'!C34&amp;""</f>
        <v/>
      </c>
      <c r="D40" s="11" t="str">
        <f>'Data Siswa'!F34&amp;""</f>
        <v/>
      </c>
      <c r="E40" s="434"/>
      <c r="F40" s="50"/>
      <c r="G40" s="50"/>
      <c r="H40" s="221" t="str">
        <f t="shared" si="0"/>
        <v/>
      </c>
      <c r="I40" s="50"/>
      <c r="J40" s="50"/>
      <c r="K40" s="221" t="str">
        <f t="shared" si="1"/>
        <v/>
      </c>
      <c r="L40" s="50"/>
      <c r="M40" s="50"/>
      <c r="N40" s="221" t="str">
        <f t="shared" si="2"/>
        <v/>
      </c>
      <c r="O40" s="50"/>
      <c r="P40" s="50"/>
      <c r="Q40" s="221" t="str">
        <f t="shared" si="3"/>
        <v/>
      </c>
      <c r="R40" s="50"/>
      <c r="S40" s="50"/>
      <c r="T40" s="221" t="str">
        <f t="shared" si="4"/>
        <v/>
      </c>
      <c r="U40" s="50"/>
      <c r="V40" s="50"/>
      <c r="W40" s="221" t="str">
        <f t="shared" si="5"/>
        <v/>
      </c>
      <c r="X40" s="50"/>
      <c r="Y40" s="50"/>
      <c r="Z40" s="221" t="str">
        <f t="shared" si="6"/>
        <v/>
      </c>
      <c r="AA40" s="50"/>
      <c r="AB40" s="50"/>
      <c r="AC40" s="221" t="str">
        <f t="shared" si="7"/>
        <v/>
      </c>
      <c r="AD40" s="50"/>
      <c r="AE40" s="50"/>
      <c r="AF40" s="221" t="str">
        <f t="shared" si="8"/>
        <v/>
      </c>
      <c r="AG40" s="50"/>
      <c r="AH40" s="50"/>
      <c r="AI40" s="221" t="str">
        <f t="shared" si="9"/>
        <v/>
      </c>
      <c r="AJ40" s="50"/>
      <c r="AK40" s="50"/>
      <c r="AL40" s="221" t="str">
        <f t="shared" si="10"/>
        <v/>
      </c>
      <c r="AM40" s="69" t="str">
        <f t="shared" si="11"/>
        <v/>
      </c>
      <c r="AN40" s="69" t="str">
        <f t="shared" si="12"/>
        <v/>
      </c>
      <c r="AO40" s="24" t="str">
        <f t="shared" si="15"/>
        <v/>
      </c>
      <c r="AP40" s="284" t="str">
        <f t="shared" si="13"/>
        <v/>
      </c>
      <c r="AR40" s="35" t="str">
        <f t="shared" si="14"/>
        <v>Sembunyikan</v>
      </c>
    </row>
    <row r="41" spans="2:44">
      <c r="B41" s="7">
        <v>32</v>
      </c>
      <c r="C41" s="7" t="str">
        <f>'Data Siswa'!C35&amp;""</f>
        <v/>
      </c>
      <c r="D41" s="11" t="str">
        <f>'Data Siswa'!F35&amp;""</f>
        <v/>
      </c>
      <c r="E41" s="434"/>
      <c r="F41" s="50"/>
      <c r="G41" s="50"/>
      <c r="H41" s="221" t="str">
        <f t="shared" si="0"/>
        <v/>
      </c>
      <c r="I41" s="50"/>
      <c r="J41" s="50"/>
      <c r="K41" s="221" t="str">
        <f t="shared" si="1"/>
        <v/>
      </c>
      <c r="L41" s="50"/>
      <c r="M41" s="50"/>
      <c r="N41" s="221" t="str">
        <f t="shared" si="2"/>
        <v/>
      </c>
      <c r="O41" s="50"/>
      <c r="P41" s="50"/>
      <c r="Q41" s="221" t="str">
        <f t="shared" si="3"/>
        <v/>
      </c>
      <c r="R41" s="50"/>
      <c r="S41" s="50"/>
      <c r="T41" s="221" t="str">
        <f t="shared" si="4"/>
        <v/>
      </c>
      <c r="U41" s="50"/>
      <c r="V41" s="50"/>
      <c r="W41" s="221" t="str">
        <f t="shared" si="5"/>
        <v/>
      </c>
      <c r="X41" s="50"/>
      <c r="Y41" s="50"/>
      <c r="Z41" s="221" t="str">
        <f t="shared" si="6"/>
        <v/>
      </c>
      <c r="AA41" s="50"/>
      <c r="AB41" s="50"/>
      <c r="AC41" s="221" t="str">
        <f t="shared" si="7"/>
        <v/>
      </c>
      <c r="AD41" s="50"/>
      <c r="AE41" s="50"/>
      <c r="AF41" s="221" t="str">
        <f t="shared" si="8"/>
        <v/>
      </c>
      <c r="AG41" s="50"/>
      <c r="AH41" s="50"/>
      <c r="AI41" s="221" t="str">
        <f t="shared" si="9"/>
        <v/>
      </c>
      <c r="AJ41" s="50"/>
      <c r="AK41" s="50"/>
      <c r="AL41" s="221" t="str">
        <f t="shared" si="10"/>
        <v/>
      </c>
      <c r="AM41" s="69" t="str">
        <f t="shared" si="11"/>
        <v/>
      </c>
      <c r="AN41" s="69" t="str">
        <f t="shared" si="12"/>
        <v/>
      </c>
      <c r="AO41" s="24" t="str">
        <f t="shared" si="15"/>
        <v/>
      </c>
      <c r="AP41" s="284" t="str">
        <f t="shared" si="13"/>
        <v/>
      </c>
      <c r="AR41" s="35" t="str">
        <f t="shared" si="14"/>
        <v>Sembunyikan</v>
      </c>
    </row>
    <row r="42" spans="2:44">
      <c r="B42" s="7">
        <v>33</v>
      </c>
      <c r="C42" s="7" t="str">
        <f>'Data Siswa'!C36&amp;""</f>
        <v/>
      </c>
      <c r="D42" s="11" t="str">
        <f>'Data Siswa'!F36&amp;""</f>
        <v/>
      </c>
      <c r="E42" s="434"/>
      <c r="F42" s="50"/>
      <c r="G42" s="50"/>
      <c r="H42" s="221" t="str">
        <f t="shared" si="0"/>
        <v/>
      </c>
      <c r="I42" s="50"/>
      <c r="J42" s="50"/>
      <c r="K42" s="221" t="str">
        <f t="shared" si="1"/>
        <v/>
      </c>
      <c r="L42" s="50"/>
      <c r="M42" s="50"/>
      <c r="N42" s="221" t="str">
        <f t="shared" si="2"/>
        <v/>
      </c>
      <c r="O42" s="50"/>
      <c r="P42" s="50"/>
      <c r="Q42" s="221" t="str">
        <f t="shared" si="3"/>
        <v/>
      </c>
      <c r="R42" s="50"/>
      <c r="S42" s="50"/>
      <c r="T42" s="221" t="str">
        <f t="shared" si="4"/>
        <v/>
      </c>
      <c r="U42" s="50"/>
      <c r="V42" s="50"/>
      <c r="W42" s="221" t="str">
        <f t="shared" si="5"/>
        <v/>
      </c>
      <c r="X42" s="50"/>
      <c r="Y42" s="50"/>
      <c r="Z42" s="221" t="str">
        <f t="shared" si="6"/>
        <v/>
      </c>
      <c r="AA42" s="50"/>
      <c r="AB42" s="50"/>
      <c r="AC42" s="221" t="str">
        <f t="shared" si="7"/>
        <v/>
      </c>
      <c r="AD42" s="50"/>
      <c r="AE42" s="50"/>
      <c r="AF42" s="221" t="str">
        <f t="shared" si="8"/>
        <v/>
      </c>
      <c r="AG42" s="50"/>
      <c r="AH42" s="50"/>
      <c r="AI42" s="221" t="str">
        <f t="shared" si="9"/>
        <v/>
      </c>
      <c r="AJ42" s="50"/>
      <c r="AK42" s="50"/>
      <c r="AL42" s="221" t="str">
        <f t="shared" si="10"/>
        <v/>
      </c>
      <c r="AM42" s="69" t="str">
        <f t="shared" ref="AM42:AM59" si="16">IFERROR(ROUND(AVERAGE(F42,I42,L42,O42,R42,U42,X42,AA42,AD42,AG42,AJ42),Digit_rata_rapor),"")</f>
        <v/>
      </c>
      <c r="AN42" s="69" t="str">
        <f t="shared" ref="AN42:AN59" si="17">IFERROR(ROUND(AVERAGE(G42,J42,M42,P42,S42,V42,Y42,AB42,AE42,AH42,AK42),Digit_rata_rapor),"")</f>
        <v/>
      </c>
      <c r="AO42" s="24" t="str">
        <f t="shared" si="15"/>
        <v/>
      </c>
      <c r="AP42" s="284" t="str">
        <f t="shared" ref="AP42:AP59" si="18">IFERROR(ROUND(AVERAGE(H42,K42,N42,Q42,T42,W42,Z42,AC42,AF42,AI42,AL42),Digit_rata_rapor),"")</f>
        <v/>
      </c>
      <c r="AR42" s="35" t="str">
        <f t="shared" ref="AR42:AR59" si="19">IF(D42="","Sembunyikan","Data")</f>
        <v>Sembunyikan</v>
      </c>
    </row>
    <row r="43" spans="2:44">
      <c r="B43" s="7">
        <v>34</v>
      </c>
      <c r="C43" s="7" t="str">
        <f>'Data Siswa'!C37&amp;""</f>
        <v/>
      </c>
      <c r="D43" s="11" t="str">
        <f>'Data Siswa'!F37&amp;""</f>
        <v/>
      </c>
      <c r="E43" s="434"/>
      <c r="F43" s="50"/>
      <c r="G43" s="50"/>
      <c r="H43" s="221" t="str">
        <f t="shared" si="0"/>
        <v/>
      </c>
      <c r="I43" s="50"/>
      <c r="J43" s="50"/>
      <c r="K43" s="221" t="str">
        <f t="shared" si="1"/>
        <v/>
      </c>
      <c r="L43" s="50"/>
      <c r="M43" s="50"/>
      <c r="N43" s="221" t="str">
        <f t="shared" si="2"/>
        <v/>
      </c>
      <c r="O43" s="50"/>
      <c r="P43" s="50"/>
      <c r="Q43" s="221" t="str">
        <f t="shared" si="3"/>
        <v/>
      </c>
      <c r="R43" s="50"/>
      <c r="S43" s="50"/>
      <c r="T43" s="221" t="str">
        <f t="shared" si="4"/>
        <v/>
      </c>
      <c r="U43" s="50"/>
      <c r="V43" s="50"/>
      <c r="W43" s="221" t="str">
        <f t="shared" si="5"/>
        <v/>
      </c>
      <c r="X43" s="50"/>
      <c r="Y43" s="50"/>
      <c r="Z43" s="221" t="str">
        <f t="shared" si="6"/>
        <v/>
      </c>
      <c r="AA43" s="50"/>
      <c r="AB43" s="50"/>
      <c r="AC43" s="221" t="str">
        <f t="shared" si="7"/>
        <v/>
      </c>
      <c r="AD43" s="50"/>
      <c r="AE43" s="50"/>
      <c r="AF43" s="221" t="str">
        <f t="shared" si="8"/>
        <v/>
      </c>
      <c r="AG43" s="50"/>
      <c r="AH43" s="50"/>
      <c r="AI43" s="221" t="str">
        <f t="shared" si="9"/>
        <v/>
      </c>
      <c r="AJ43" s="50"/>
      <c r="AK43" s="50"/>
      <c r="AL43" s="221" t="str">
        <f t="shared" si="10"/>
        <v/>
      </c>
      <c r="AM43" s="69" t="str">
        <f t="shared" si="16"/>
        <v/>
      </c>
      <c r="AN43" s="69" t="str">
        <f t="shared" si="17"/>
        <v/>
      </c>
      <c r="AO43" s="24" t="str">
        <f t="shared" si="15"/>
        <v/>
      </c>
      <c r="AP43" s="284" t="str">
        <f t="shared" si="18"/>
        <v/>
      </c>
      <c r="AR43" s="35" t="str">
        <f t="shared" si="19"/>
        <v>Sembunyikan</v>
      </c>
    </row>
    <row r="44" spans="2:44">
      <c r="B44" s="7">
        <v>35</v>
      </c>
      <c r="C44" s="7" t="str">
        <f>'Data Siswa'!C38&amp;""</f>
        <v/>
      </c>
      <c r="D44" s="11" t="str">
        <f>'Data Siswa'!F38&amp;""</f>
        <v/>
      </c>
      <c r="E44" s="434"/>
      <c r="F44" s="50"/>
      <c r="G44" s="50"/>
      <c r="H44" s="221" t="str">
        <f t="shared" si="0"/>
        <v/>
      </c>
      <c r="I44" s="50"/>
      <c r="J44" s="50"/>
      <c r="K44" s="221" t="str">
        <f t="shared" si="1"/>
        <v/>
      </c>
      <c r="L44" s="50"/>
      <c r="M44" s="50"/>
      <c r="N44" s="221" t="str">
        <f t="shared" si="2"/>
        <v/>
      </c>
      <c r="O44" s="50"/>
      <c r="P44" s="50"/>
      <c r="Q44" s="221" t="str">
        <f t="shared" si="3"/>
        <v/>
      </c>
      <c r="R44" s="50"/>
      <c r="S44" s="50"/>
      <c r="T44" s="221" t="str">
        <f t="shared" si="4"/>
        <v/>
      </c>
      <c r="U44" s="50"/>
      <c r="V44" s="50"/>
      <c r="W44" s="221" t="str">
        <f t="shared" si="5"/>
        <v/>
      </c>
      <c r="X44" s="50"/>
      <c r="Y44" s="50"/>
      <c r="Z44" s="221" t="str">
        <f t="shared" si="6"/>
        <v/>
      </c>
      <c r="AA44" s="50"/>
      <c r="AB44" s="50"/>
      <c r="AC44" s="221" t="str">
        <f t="shared" si="7"/>
        <v/>
      </c>
      <c r="AD44" s="50"/>
      <c r="AE44" s="50"/>
      <c r="AF44" s="221" t="str">
        <f t="shared" si="8"/>
        <v/>
      </c>
      <c r="AG44" s="50"/>
      <c r="AH44" s="50"/>
      <c r="AI44" s="221" t="str">
        <f t="shared" si="9"/>
        <v/>
      </c>
      <c r="AJ44" s="50"/>
      <c r="AK44" s="50"/>
      <c r="AL44" s="221" t="str">
        <f t="shared" si="10"/>
        <v/>
      </c>
      <c r="AM44" s="69" t="str">
        <f t="shared" si="16"/>
        <v/>
      </c>
      <c r="AN44" s="69" t="str">
        <f t="shared" si="17"/>
        <v/>
      </c>
      <c r="AO44" s="24" t="str">
        <f t="shared" si="15"/>
        <v/>
      </c>
      <c r="AP44" s="284" t="str">
        <f t="shared" si="18"/>
        <v/>
      </c>
      <c r="AR44" s="35" t="str">
        <f t="shared" si="19"/>
        <v>Sembunyikan</v>
      </c>
    </row>
    <row r="45" spans="2:44">
      <c r="B45" s="7">
        <v>36</v>
      </c>
      <c r="C45" s="7" t="str">
        <f>'Data Siswa'!C39&amp;""</f>
        <v/>
      </c>
      <c r="D45" s="11" t="str">
        <f>'Data Siswa'!F39&amp;""</f>
        <v/>
      </c>
      <c r="E45" s="434"/>
      <c r="F45" s="50"/>
      <c r="G45" s="50"/>
      <c r="H45" s="221" t="str">
        <f t="shared" si="0"/>
        <v/>
      </c>
      <c r="I45" s="50"/>
      <c r="J45" s="50"/>
      <c r="K45" s="221" t="str">
        <f t="shared" si="1"/>
        <v/>
      </c>
      <c r="L45" s="50"/>
      <c r="M45" s="50"/>
      <c r="N45" s="221" t="str">
        <f t="shared" si="2"/>
        <v/>
      </c>
      <c r="O45" s="50"/>
      <c r="P45" s="50"/>
      <c r="Q45" s="221" t="str">
        <f t="shared" si="3"/>
        <v/>
      </c>
      <c r="R45" s="50"/>
      <c r="S45" s="50"/>
      <c r="T45" s="221" t="str">
        <f t="shared" si="4"/>
        <v/>
      </c>
      <c r="U45" s="50"/>
      <c r="V45" s="50"/>
      <c r="W45" s="221" t="str">
        <f t="shared" si="5"/>
        <v/>
      </c>
      <c r="X45" s="50"/>
      <c r="Y45" s="50"/>
      <c r="Z45" s="221" t="str">
        <f t="shared" si="6"/>
        <v/>
      </c>
      <c r="AA45" s="50"/>
      <c r="AB45" s="50"/>
      <c r="AC45" s="221" t="str">
        <f t="shared" si="7"/>
        <v/>
      </c>
      <c r="AD45" s="50"/>
      <c r="AE45" s="50"/>
      <c r="AF45" s="221" t="str">
        <f t="shared" si="8"/>
        <v/>
      </c>
      <c r="AG45" s="50"/>
      <c r="AH45" s="50"/>
      <c r="AI45" s="221" t="str">
        <f t="shared" si="9"/>
        <v/>
      </c>
      <c r="AJ45" s="50"/>
      <c r="AK45" s="50"/>
      <c r="AL45" s="221" t="str">
        <f t="shared" si="10"/>
        <v/>
      </c>
      <c r="AM45" s="69" t="str">
        <f t="shared" si="16"/>
        <v/>
      </c>
      <c r="AN45" s="69" t="str">
        <f t="shared" si="17"/>
        <v/>
      </c>
      <c r="AO45" s="24" t="str">
        <f t="shared" si="15"/>
        <v/>
      </c>
      <c r="AP45" s="284" t="str">
        <f t="shared" si="18"/>
        <v/>
      </c>
      <c r="AR45" s="35" t="str">
        <f t="shared" si="19"/>
        <v>Sembunyikan</v>
      </c>
    </row>
    <row r="46" spans="2:44">
      <c r="B46" s="7">
        <v>37</v>
      </c>
      <c r="C46" s="7" t="str">
        <f>'Data Siswa'!C40&amp;""</f>
        <v/>
      </c>
      <c r="D46" s="11" t="str">
        <f>'Data Siswa'!F40&amp;""</f>
        <v/>
      </c>
      <c r="E46" s="434"/>
      <c r="F46" s="50"/>
      <c r="G46" s="50"/>
      <c r="H46" s="221" t="str">
        <f t="shared" si="0"/>
        <v/>
      </c>
      <c r="I46" s="50"/>
      <c r="J46" s="50"/>
      <c r="K46" s="221" t="str">
        <f t="shared" si="1"/>
        <v/>
      </c>
      <c r="L46" s="50"/>
      <c r="M46" s="50"/>
      <c r="N46" s="221" t="str">
        <f t="shared" si="2"/>
        <v/>
      </c>
      <c r="O46" s="50"/>
      <c r="P46" s="50"/>
      <c r="Q46" s="221" t="str">
        <f t="shared" si="3"/>
        <v/>
      </c>
      <c r="R46" s="50"/>
      <c r="S46" s="50"/>
      <c r="T46" s="221" t="str">
        <f t="shared" si="4"/>
        <v/>
      </c>
      <c r="U46" s="50"/>
      <c r="V46" s="50"/>
      <c r="W46" s="221" t="str">
        <f t="shared" si="5"/>
        <v/>
      </c>
      <c r="X46" s="50"/>
      <c r="Y46" s="50"/>
      <c r="Z46" s="221" t="str">
        <f t="shared" si="6"/>
        <v/>
      </c>
      <c r="AA46" s="50"/>
      <c r="AB46" s="50"/>
      <c r="AC46" s="221" t="str">
        <f t="shared" si="7"/>
        <v/>
      </c>
      <c r="AD46" s="50"/>
      <c r="AE46" s="50"/>
      <c r="AF46" s="221" t="str">
        <f t="shared" si="8"/>
        <v/>
      </c>
      <c r="AG46" s="50"/>
      <c r="AH46" s="50"/>
      <c r="AI46" s="221" t="str">
        <f t="shared" si="9"/>
        <v/>
      </c>
      <c r="AJ46" s="50"/>
      <c r="AK46" s="50"/>
      <c r="AL46" s="221" t="str">
        <f t="shared" si="10"/>
        <v/>
      </c>
      <c r="AM46" s="69" t="str">
        <f t="shared" si="16"/>
        <v/>
      </c>
      <c r="AN46" s="69" t="str">
        <f t="shared" si="17"/>
        <v/>
      </c>
      <c r="AO46" s="24" t="str">
        <f t="shared" si="15"/>
        <v/>
      </c>
      <c r="AP46" s="284" t="str">
        <f t="shared" si="18"/>
        <v/>
      </c>
      <c r="AR46" s="35" t="str">
        <f t="shared" si="19"/>
        <v>Sembunyikan</v>
      </c>
    </row>
    <row r="47" spans="2:44">
      <c r="B47" s="7">
        <v>38</v>
      </c>
      <c r="C47" s="7" t="str">
        <f>'Data Siswa'!C41&amp;""</f>
        <v/>
      </c>
      <c r="D47" s="11" t="str">
        <f>'Data Siswa'!F41&amp;""</f>
        <v/>
      </c>
      <c r="E47" s="434"/>
      <c r="F47" s="50"/>
      <c r="G47" s="50"/>
      <c r="H47" s="221" t="str">
        <f t="shared" si="0"/>
        <v/>
      </c>
      <c r="I47" s="50"/>
      <c r="J47" s="50"/>
      <c r="K47" s="221" t="str">
        <f t="shared" si="1"/>
        <v/>
      </c>
      <c r="L47" s="50"/>
      <c r="M47" s="50"/>
      <c r="N47" s="221" t="str">
        <f t="shared" si="2"/>
        <v/>
      </c>
      <c r="O47" s="50"/>
      <c r="P47" s="50"/>
      <c r="Q47" s="221" t="str">
        <f t="shared" si="3"/>
        <v/>
      </c>
      <c r="R47" s="50"/>
      <c r="S47" s="50"/>
      <c r="T47" s="221" t="str">
        <f t="shared" si="4"/>
        <v/>
      </c>
      <c r="U47" s="50"/>
      <c r="V47" s="50"/>
      <c r="W47" s="221" t="str">
        <f t="shared" si="5"/>
        <v/>
      </c>
      <c r="X47" s="50"/>
      <c r="Y47" s="50"/>
      <c r="Z47" s="221" t="str">
        <f t="shared" si="6"/>
        <v/>
      </c>
      <c r="AA47" s="50"/>
      <c r="AB47" s="50"/>
      <c r="AC47" s="221" t="str">
        <f t="shared" si="7"/>
        <v/>
      </c>
      <c r="AD47" s="50"/>
      <c r="AE47" s="50"/>
      <c r="AF47" s="221" t="str">
        <f t="shared" si="8"/>
        <v/>
      </c>
      <c r="AG47" s="50"/>
      <c r="AH47" s="50"/>
      <c r="AI47" s="221" t="str">
        <f t="shared" si="9"/>
        <v/>
      </c>
      <c r="AJ47" s="50"/>
      <c r="AK47" s="50"/>
      <c r="AL47" s="221" t="str">
        <f t="shared" si="10"/>
        <v/>
      </c>
      <c r="AM47" s="69" t="str">
        <f t="shared" si="16"/>
        <v/>
      </c>
      <c r="AN47" s="69" t="str">
        <f t="shared" si="17"/>
        <v/>
      </c>
      <c r="AO47" s="24" t="str">
        <f t="shared" si="15"/>
        <v/>
      </c>
      <c r="AP47" s="284" t="str">
        <f t="shared" si="18"/>
        <v/>
      </c>
      <c r="AR47" s="35" t="str">
        <f t="shared" si="19"/>
        <v>Sembunyikan</v>
      </c>
    </row>
    <row r="48" spans="2:44">
      <c r="B48" s="7">
        <v>39</v>
      </c>
      <c r="C48" s="7" t="str">
        <f>'Data Siswa'!C42&amp;""</f>
        <v/>
      </c>
      <c r="D48" s="11" t="str">
        <f>'Data Siswa'!F42&amp;""</f>
        <v/>
      </c>
      <c r="E48" s="434"/>
      <c r="F48" s="50"/>
      <c r="G48" s="50"/>
      <c r="H48" s="221" t="str">
        <f t="shared" si="0"/>
        <v/>
      </c>
      <c r="I48" s="50"/>
      <c r="J48" s="50"/>
      <c r="K48" s="221" t="str">
        <f t="shared" si="1"/>
        <v/>
      </c>
      <c r="L48" s="50"/>
      <c r="M48" s="50"/>
      <c r="N48" s="221" t="str">
        <f t="shared" si="2"/>
        <v/>
      </c>
      <c r="O48" s="50"/>
      <c r="P48" s="50"/>
      <c r="Q48" s="221" t="str">
        <f t="shared" si="3"/>
        <v/>
      </c>
      <c r="R48" s="50"/>
      <c r="S48" s="50"/>
      <c r="T48" s="221" t="str">
        <f t="shared" si="4"/>
        <v/>
      </c>
      <c r="U48" s="50"/>
      <c r="V48" s="50"/>
      <c r="W48" s="221" t="str">
        <f t="shared" si="5"/>
        <v/>
      </c>
      <c r="X48" s="50"/>
      <c r="Y48" s="50"/>
      <c r="Z48" s="221" t="str">
        <f t="shared" si="6"/>
        <v/>
      </c>
      <c r="AA48" s="50"/>
      <c r="AB48" s="50"/>
      <c r="AC48" s="221" t="str">
        <f t="shared" si="7"/>
        <v/>
      </c>
      <c r="AD48" s="50"/>
      <c r="AE48" s="50"/>
      <c r="AF48" s="221" t="str">
        <f t="shared" si="8"/>
        <v/>
      </c>
      <c r="AG48" s="50"/>
      <c r="AH48" s="50"/>
      <c r="AI48" s="221" t="str">
        <f t="shared" si="9"/>
        <v/>
      </c>
      <c r="AJ48" s="50"/>
      <c r="AK48" s="50"/>
      <c r="AL48" s="221" t="str">
        <f t="shared" si="10"/>
        <v/>
      </c>
      <c r="AM48" s="69" t="str">
        <f t="shared" si="16"/>
        <v/>
      </c>
      <c r="AN48" s="69" t="str">
        <f t="shared" si="17"/>
        <v/>
      </c>
      <c r="AO48" s="24" t="str">
        <f t="shared" si="15"/>
        <v/>
      </c>
      <c r="AP48" s="284" t="str">
        <f t="shared" si="18"/>
        <v/>
      </c>
      <c r="AR48" s="35" t="str">
        <f t="shared" si="19"/>
        <v>Sembunyikan</v>
      </c>
    </row>
    <row r="49" spans="2:44">
      <c r="B49" s="7">
        <v>40</v>
      </c>
      <c r="C49" s="7" t="str">
        <f>'Data Siswa'!C43&amp;""</f>
        <v/>
      </c>
      <c r="D49" s="11" t="str">
        <f>'Data Siswa'!F43&amp;""</f>
        <v/>
      </c>
      <c r="E49" s="434"/>
      <c r="F49" s="50"/>
      <c r="G49" s="50"/>
      <c r="H49" s="221" t="str">
        <f t="shared" si="0"/>
        <v/>
      </c>
      <c r="I49" s="50"/>
      <c r="J49" s="50"/>
      <c r="K49" s="221" t="str">
        <f t="shared" si="1"/>
        <v/>
      </c>
      <c r="L49" s="50"/>
      <c r="M49" s="50"/>
      <c r="N49" s="221" t="str">
        <f t="shared" si="2"/>
        <v/>
      </c>
      <c r="O49" s="50"/>
      <c r="P49" s="50"/>
      <c r="Q49" s="221" t="str">
        <f t="shared" si="3"/>
        <v/>
      </c>
      <c r="R49" s="50"/>
      <c r="S49" s="50"/>
      <c r="T49" s="221" t="str">
        <f t="shared" si="4"/>
        <v/>
      </c>
      <c r="U49" s="50"/>
      <c r="V49" s="50"/>
      <c r="W49" s="221" t="str">
        <f t="shared" si="5"/>
        <v/>
      </c>
      <c r="X49" s="50"/>
      <c r="Y49" s="50"/>
      <c r="Z49" s="221" t="str">
        <f t="shared" si="6"/>
        <v/>
      </c>
      <c r="AA49" s="50"/>
      <c r="AB49" s="50"/>
      <c r="AC49" s="221" t="str">
        <f t="shared" si="7"/>
        <v/>
      </c>
      <c r="AD49" s="50"/>
      <c r="AE49" s="50"/>
      <c r="AF49" s="221" t="str">
        <f t="shared" si="8"/>
        <v/>
      </c>
      <c r="AG49" s="50"/>
      <c r="AH49" s="50"/>
      <c r="AI49" s="221" t="str">
        <f t="shared" si="9"/>
        <v/>
      </c>
      <c r="AJ49" s="50"/>
      <c r="AK49" s="50"/>
      <c r="AL49" s="221" t="str">
        <f t="shared" si="10"/>
        <v/>
      </c>
      <c r="AM49" s="69" t="str">
        <f t="shared" si="16"/>
        <v/>
      </c>
      <c r="AN49" s="69" t="str">
        <f t="shared" si="17"/>
        <v/>
      </c>
      <c r="AO49" s="24" t="str">
        <f t="shared" si="15"/>
        <v/>
      </c>
      <c r="AP49" s="284" t="str">
        <f t="shared" si="18"/>
        <v/>
      </c>
      <c r="AR49" s="35" t="str">
        <f t="shared" si="19"/>
        <v>Sembunyikan</v>
      </c>
    </row>
    <row r="50" spans="2:44">
      <c r="B50" s="7">
        <v>41</v>
      </c>
      <c r="C50" s="7" t="str">
        <f>'Data Siswa'!C44&amp;""</f>
        <v/>
      </c>
      <c r="D50" s="11" t="str">
        <f>'Data Siswa'!F44&amp;""</f>
        <v/>
      </c>
      <c r="E50" s="434"/>
      <c r="F50" s="50"/>
      <c r="G50" s="50"/>
      <c r="H50" s="221" t="str">
        <f t="shared" si="0"/>
        <v/>
      </c>
      <c r="I50" s="50"/>
      <c r="J50" s="50"/>
      <c r="K50" s="221" t="str">
        <f t="shared" si="1"/>
        <v/>
      </c>
      <c r="L50" s="50"/>
      <c r="M50" s="50"/>
      <c r="N50" s="221" t="str">
        <f t="shared" si="2"/>
        <v/>
      </c>
      <c r="O50" s="50"/>
      <c r="P50" s="50"/>
      <c r="Q50" s="221" t="str">
        <f t="shared" si="3"/>
        <v/>
      </c>
      <c r="R50" s="50"/>
      <c r="S50" s="50"/>
      <c r="T50" s="221" t="str">
        <f t="shared" si="4"/>
        <v/>
      </c>
      <c r="U50" s="50"/>
      <c r="V50" s="50"/>
      <c r="W50" s="221" t="str">
        <f t="shared" si="5"/>
        <v/>
      </c>
      <c r="X50" s="50"/>
      <c r="Y50" s="50"/>
      <c r="Z50" s="221" t="str">
        <f t="shared" si="6"/>
        <v/>
      </c>
      <c r="AA50" s="50"/>
      <c r="AB50" s="50"/>
      <c r="AC50" s="221" t="str">
        <f t="shared" si="7"/>
        <v/>
      </c>
      <c r="AD50" s="50"/>
      <c r="AE50" s="50"/>
      <c r="AF50" s="221" t="str">
        <f t="shared" si="8"/>
        <v/>
      </c>
      <c r="AG50" s="50"/>
      <c r="AH50" s="50"/>
      <c r="AI50" s="221" t="str">
        <f t="shared" si="9"/>
        <v/>
      </c>
      <c r="AJ50" s="50"/>
      <c r="AK50" s="50"/>
      <c r="AL50" s="221" t="str">
        <f t="shared" si="10"/>
        <v/>
      </c>
      <c r="AM50" s="69" t="str">
        <f t="shared" si="16"/>
        <v/>
      </c>
      <c r="AN50" s="69" t="str">
        <f t="shared" si="17"/>
        <v/>
      </c>
      <c r="AO50" s="24" t="str">
        <f t="shared" si="15"/>
        <v/>
      </c>
      <c r="AP50" s="284" t="str">
        <f t="shared" si="18"/>
        <v/>
      </c>
      <c r="AR50" s="35" t="str">
        <f t="shared" si="19"/>
        <v>Sembunyikan</v>
      </c>
    </row>
    <row r="51" spans="2:44">
      <c r="B51" s="7">
        <v>42</v>
      </c>
      <c r="C51" s="7" t="str">
        <f>'Data Siswa'!C45&amp;""</f>
        <v/>
      </c>
      <c r="D51" s="11" t="str">
        <f>'Data Siswa'!F45&amp;""</f>
        <v/>
      </c>
      <c r="E51" s="434"/>
      <c r="F51" s="50"/>
      <c r="G51" s="50"/>
      <c r="H51" s="221" t="str">
        <f t="shared" si="0"/>
        <v/>
      </c>
      <c r="I51" s="50"/>
      <c r="J51" s="50"/>
      <c r="K51" s="221" t="str">
        <f t="shared" si="1"/>
        <v/>
      </c>
      <c r="L51" s="50"/>
      <c r="M51" s="50"/>
      <c r="N51" s="221" t="str">
        <f t="shared" si="2"/>
        <v/>
      </c>
      <c r="O51" s="50"/>
      <c r="P51" s="50"/>
      <c r="Q51" s="221" t="str">
        <f t="shared" si="3"/>
        <v/>
      </c>
      <c r="R51" s="50"/>
      <c r="S51" s="50"/>
      <c r="T51" s="221" t="str">
        <f t="shared" si="4"/>
        <v/>
      </c>
      <c r="U51" s="50"/>
      <c r="V51" s="50"/>
      <c r="W51" s="221" t="str">
        <f t="shared" si="5"/>
        <v/>
      </c>
      <c r="X51" s="50"/>
      <c r="Y51" s="50"/>
      <c r="Z51" s="221" t="str">
        <f t="shared" si="6"/>
        <v/>
      </c>
      <c r="AA51" s="50"/>
      <c r="AB51" s="50"/>
      <c r="AC51" s="221" t="str">
        <f t="shared" si="7"/>
        <v/>
      </c>
      <c r="AD51" s="50"/>
      <c r="AE51" s="50"/>
      <c r="AF51" s="221" t="str">
        <f t="shared" si="8"/>
        <v/>
      </c>
      <c r="AG51" s="50"/>
      <c r="AH51" s="50"/>
      <c r="AI51" s="221" t="str">
        <f t="shared" si="9"/>
        <v/>
      </c>
      <c r="AJ51" s="50"/>
      <c r="AK51" s="50"/>
      <c r="AL51" s="221" t="str">
        <f t="shared" si="10"/>
        <v/>
      </c>
      <c r="AM51" s="69" t="str">
        <f t="shared" si="16"/>
        <v/>
      </c>
      <c r="AN51" s="69" t="str">
        <f t="shared" si="17"/>
        <v/>
      </c>
      <c r="AO51" s="24" t="str">
        <f t="shared" si="15"/>
        <v/>
      </c>
      <c r="AP51" s="284" t="str">
        <f t="shared" si="18"/>
        <v/>
      </c>
      <c r="AR51" s="35" t="str">
        <f t="shared" si="19"/>
        <v>Sembunyikan</v>
      </c>
    </row>
    <row r="52" spans="2:44">
      <c r="B52" s="7">
        <v>43</v>
      </c>
      <c r="C52" s="7" t="str">
        <f>'Data Siswa'!C46&amp;""</f>
        <v/>
      </c>
      <c r="D52" s="11" t="str">
        <f>'Data Siswa'!F46&amp;""</f>
        <v/>
      </c>
      <c r="E52" s="434"/>
      <c r="F52" s="50"/>
      <c r="G52" s="50"/>
      <c r="H52" s="221" t="str">
        <f t="shared" si="0"/>
        <v/>
      </c>
      <c r="I52" s="50"/>
      <c r="J52" s="50"/>
      <c r="K52" s="221" t="str">
        <f t="shared" si="1"/>
        <v/>
      </c>
      <c r="L52" s="50"/>
      <c r="M52" s="50"/>
      <c r="N52" s="221" t="str">
        <f t="shared" si="2"/>
        <v/>
      </c>
      <c r="O52" s="50"/>
      <c r="P52" s="50"/>
      <c r="Q52" s="221" t="str">
        <f t="shared" si="3"/>
        <v/>
      </c>
      <c r="R52" s="50"/>
      <c r="S52" s="50"/>
      <c r="T52" s="221" t="str">
        <f t="shared" si="4"/>
        <v/>
      </c>
      <c r="U52" s="50"/>
      <c r="V52" s="50"/>
      <c r="W52" s="221" t="str">
        <f t="shared" si="5"/>
        <v/>
      </c>
      <c r="X52" s="50"/>
      <c r="Y52" s="50"/>
      <c r="Z52" s="221" t="str">
        <f t="shared" si="6"/>
        <v/>
      </c>
      <c r="AA52" s="50"/>
      <c r="AB52" s="50"/>
      <c r="AC52" s="221" t="str">
        <f t="shared" si="7"/>
        <v/>
      </c>
      <c r="AD52" s="50"/>
      <c r="AE52" s="50"/>
      <c r="AF52" s="221" t="str">
        <f t="shared" si="8"/>
        <v/>
      </c>
      <c r="AG52" s="50"/>
      <c r="AH52" s="50"/>
      <c r="AI52" s="221" t="str">
        <f t="shared" si="9"/>
        <v/>
      </c>
      <c r="AJ52" s="50"/>
      <c r="AK52" s="50"/>
      <c r="AL52" s="221" t="str">
        <f t="shared" si="10"/>
        <v/>
      </c>
      <c r="AM52" s="69" t="str">
        <f t="shared" si="16"/>
        <v/>
      </c>
      <c r="AN52" s="69" t="str">
        <f t="shared" si="17"/>
        <v/>
      </c>
      <c r="AO52" s="24" t="str">
        <f t="shared" si="15"/>
        <v/>
      </c>
      <c r="AP52" s="284" t="str">
        <f t="shared" si="18"/>
        <v/>
      </c>
      <c r="AR52" s="35" t="str">
        <f t="shared" si="19"/>
        <v>Sembunyikan</v>
      </c>
    </row>
    <row r="53" spans="2:44">
      <c r="B53" s="7">
        <v>44</v>
      </c>
      <c r="C53" s="7" t="str">
        <f>'Data Siswa'!C47&amp;""</f>
        <v/>
      </c>
      <c r="D53" s="11" t="str">
        <f>'Data Siswa'!F47&amp;""</f>
        <v/>
      </c>
      <c r="E53" s="434"/>
      <c r="F53" s="50"/>
      <c r="G53" s="50"/>
      <c r="H53" s="221" t="str">
        <f t="shared" si="0"/>
        <v/>
      </c>
      <c r="I53" s="50"/>
      <c r="J53" s="50"/>
      <c r="K53" s="221" t="str">
        <f t="shared" si="1"/>
        <v/>
      </c>
      <c r="L53" s="50"/>
      <c r="M53" s="50"/>
      <c r="N53" s="221" t="str">
        <f t="shared" si="2"/>
        <v/>
      </c>
      <c r="O53" s="50"/>
      <c r="P53" s="50"/>
      <c r="Q53" s="221" t="str">
        <f t="shared" si="3"/>
        <v/>
      </c>
      <c r="R53" s="50"/>
      <c r="S53" s="50"/>
      <c r="T53" s="221" t="str">
        <f t="shared" si="4"/>
        <v/>
      </c>
      <c r="U53" s="50"/>
      <c r="V53" s="50"/>
      <c r="W53" s="221" t="str">
        <f t="shared" si="5"/>
        <v/>
      </c>
      <c r="X53" s="50"/>
      <c r="Y53" s="50"/>
      <c r="Z53" s="221" t="str">
        <f t="shared" si="6"/>
        <v/>
      </c>
      <c r="AA53" s="50"/>
      <c r="AB53" s="50"/>
      <c r="AC53" s="221" t="str">
        <f t="shared" si="7"/>
        <v/>
      </c>
      <c r="AD53" s="50"/>
      <c r="AE53" s="50"/>
      <c r="AF53" s="221" t="str">
        <f t="shared" si="8"/>
        <v/>
      </c>
      <c r="AG53" s="50"/>
      <c r="AH53" s="50"/>
      <c r="AI53" s="221" t="str">
        <f t="shared" si="9"/>
        <v/>
      </c>
      <c r="AJ53" s="50"/>
      <c r="AK53" s="50"/>
      <c r="AL53" s="221" t="str">
        <f t="shared" si="10"/>
        <v/>
      </c>
      <c r="AM53" s="69" t="str">
        <f t="shared" si="16"/>
        <v/>
      </c>
      <c r="AN53" s="69" t="str">
        <f t="shared" si="17"/>
        <v/>
      </c>
      <c r="AO53" s="24" t="str">
        <f t="shared" si="15"/>
        <v/>
      </c>
      <c r="AP53" s="284" t="str">
        <f t="shared" si="18"/>
        <v/>
      </c>
      <c r="AR53" s="35" t="str">
        <f t="shared" si="19"/>
        <v>Sembunyikan</v>
      </c>
    </row>
    <row r="54" spans="2:44">
      <c r="B54" s="7">
        <v>45</v>
      </c>
      <c r="C54" s="7" t="str">
        <f>'Data Siswa'!C48&amp;""</f>
        <v/>
      </c>
      <c r="D54" s="11" t="str">
        <f>'Data Siswa'!F48&amp;""</f>
        <v/>
      </c>
      <c r="E54" s="434"/>
      <c r="F54" s="50"/>
      <c r="G54" s="50"/>
      <c r="H54" s="221" t="str">
        <f t="shared" si="0"/>
        <v/>
      </c>
      <c r="I54" s="50"/>
      <c r="J54" s="50"/>
      <c r="K54" s="221" t="str">
        <f t="shared" si="1"/>
        <v/>
      </c>
      <c r="L54" s="50"/>
      <c r="M54" s="50"/>
      <c r="N54" s="221" t="str">
        <f t="shared" si="2"/>
        <v/>
      </c>
      <c r="O54" s="50"/>
      <c r="P54" s="50"/>
      <c r="Q54" s="221" t="str">
        <f t="shared" si="3"/>
        <v/>
      </c>
      <c r="R54" s="50"/>
      <c r="S54" s="50"/>
      <c r="T54" s="221" t="str">
        <f t="shared" si="4"/>
        <v/>
      </c>
      <c r="U54" s="50"/>
      <c r="V54" s="50"/>
      <c r="W54" s="221" t="str">
        <f t="shared" si="5"/>
        <v/>
      </c>
      <c r="X54" s="50"/>
      <c r="Y54" s="50"/>
      <c r="Z54" s="221" t="str">
        <f t="shared" si="6"/>
        <v/>
      </c>
      <c r="AA54" s="50"/>
      <c r="AB54" s="50"/>
      <c r="AC54" s="221" t="str">
        <f t="shared" si="7"/>
        <v/>
      </c>
      <c r="AD54" s="50"/>
      <c r="AE54" s="50"/>
      <c r="AF54" s="221" t="str">
        <f t="shared" si="8"/>
        <v/>
      </c>
      <c r="AG54" s="50"/>
      <c r="AH54" s="50"/>
      <c r="AI54" s="221" t="str">
        <f t="shared" si="9"/>
        <v/>
      </c>
      <c r="AJ54" s="50"/>
      <c r="AK54" s="50"/>
      <c r="AL54" s="221" t="str">
        <f t="shared" si="10"/>
        <v/>
      </c>
      <c r="AM54" s="69" t="str">
        <f t="shared" si="16"/>
        <v/>
      </c>
      <c r="AN54" s="69" t="str">
        <f t="shared" si="17"/>
        <v/>
      </c>
      <c r="AO54" s="24" t="str">
        <f t="shared" si="15"/>
        <v/>
      </c>
      <c r="AP54" s="284" t="str">
        <f t="shared" si="18"/>
        <v/>
      </c>
      <c r="AR54" s="35" t="str">
        <f t="shared" si="19"/>
        <v>Sembunyikan</v>
      </c>
    </row>
    <row r="55" spans="2:44">
      <c r="B55" s="7">
        <v>46</v>
      </c>
      <c r="C55" s="7" t="str">
        <f>'Data Siswa'!C49&amp;""</f>
        <v/>
      </c>
      <c r="D55" s="11" t="str">
        <f>'Data Siswa'!F49&amp;""</f>
        <v/>
      </c>
      <c r="E55" s="434"/>
      <c r="F55" s="50"/>
      <c r="G55" s="50"/>
      <c r="H55" s="221" t="str">
        <f t="shared" si="0"/>
        <v/>
      </c>
      <c r="I55" s="50"/>
      <c r="J55" s="50"/>
      <c r="K55" s="221" t="str">
        <f t="shared" si="1"/>
        <v/>
      </c>
      <c r="L55" s="50"/>
      <c r="M55" s="50"/>
      <c r="N55" s="221" t="str">
        <f t="shared" si="2"/>
        <v/>
      </c>
      <c r="O55" s="50"/>
      <c r="P55" s="50"/>
      <c r="Q55" s="221" t="str">
        <f t="shared" si="3"/>
        <v/>
      </c>
      <c r="R55" s="50"/>
      <c r="S55" s="50"/>
      <c r="T55" s="221" t="str">
        <f t="shared" si="4"/>
        <v/>
      </c>
      <c r="U55" s="50"/>
      <c r="V55" s="50"/>
      <c r="W55" s="221" t="str">
        <f t="shared" si="5"/>
        <v/>
      </c>
      <c r="X55" s="50"/>
      <c r="Y55" s="50"/>
      <c r="Z55" s="221" t="str">
        <f t="shared" si="6"/>
        <v/>
      </c>
      <c r="AA55" s="50"/>
      <c r="AB55" s="50"/>
      <c r="AC55" s="221" t="str">
        <f t="shared" si="7"/>
        <v/>
      </c>
      <c r="AD55" s="50"/>
      <c r="AE55" s="50"/>
      <c r="AF55" s="221" t="str">
        <f t="shared" si="8"/>
        <v/>
      </c>
      <c r="AG55" s="50"/>
      <c r="AH55" s="50"/>
      <c r="AI55" s="221" t="str">
        <f t="shared" si="9"/>
        <v/>
      </c>
      <c r="AJ55" s="50"/>
      <c r="AK55" s="50"/>
      <c r="AL55" s="221" t="str">
        <f t="shared" si="10"/>
        <v/>
      </c>
      <c r="AM55" s="69" t="str">
        <f t="shared" si="16"/>
        <v/>
      </c>
      <c r="AN55" s="69" t="str">
        <f t="shared" si="17"/>
        <v/>
      </c>
      <c r="AO55" s="24" t="str">
        <f t="shared" si="15"/>
        <v/>
      </c>
      <c r="AP55" s="284" t="str">
        <f t="shared" si="18"/>
        <v/>
      </c>
      <c r="AR55" s="35" t="str">
        <f t="shared" si="19"/>
        <v>Sembunyikan</v>
      </c>
    </row>
    <row r="56" spans="2:44">
      <c r="B56" s="7">
        <v>47</v>
      </c>
      <c r="C56" s="7" t="str">
        <f>'Data Siswa'!C50&amp;""</f>
        <v/>
      </c>
      <c r="D56" s="11" t="str">
        <f>'Data Siswa'!F50&amp;""</f>
        <v/>
      </c>
      <c r="E56" s="434"/>
      <c r="F56" s="50"/>
      <c r="G56" s="50"/>
      <c r="H56" s="221" t="str">
        <f t="shared" si="0"/>
        <v/>
      </c>
      <c r="I56" s="50"/>
      <c r="J56" s="50"/>
      <c r="K56" s="221" t="str">
        <f t="shared" si="1"/>
        <v/>
      </c>
      <c r="L56" s="50"/>
      <c r="M56" s="50"/>
      <c r="N56" s="221" t="str">
        <f t="shared" si="2"/>
        <v/>
      </c>
      <c r="O56" s="50"/>
      <c r="P56" s="50"/>
      <c r="Q56" s="221" t="str">
        <f t="shared" si="3"/>
        <v/>
      </c>
      <c r="R56" s="50"/>
      <c r="S56" s="50"/>
      <c r="T56" s="221" t="str">
        <f t="shared" si="4"/>
        <v/>
      </c>
      <c r="U56" s="50"/>
      <c r="V56" s="50"/>
      <c r="W56" s="221" t="str">
        <f t="shared" si="5"/>
        <v/>
      </c>
      <c r="X56" s="50"/>
      <c r="Y56" s="50"/>
      <c r="Z56" s="221" t="str">
        <f t="shared" si="6"/>
        <v/>
      </c>
      <c r="AA56" s="50"/>
      <c r="AB56" s="50"/>
      <c r="AC56" s="221" t="str">
        <f t="shared" si="7"/>
        <v/>
      </c>
      <c r="AD56" s="50"/>
      <c r="AE56" s="50"/>
      <c r="AF56" s="221" t="str">
        <f t="shared" si="8"/>
        <v/>
      </c>
      <c r="AG56" s="50"/>
      <c r="AH56" s="50"/>
      <c r="AI56" s="221" t="str">
        <f t="shared" si="9"/>
        <v/>
      </c>
      <c r="AJ56" s="50"/>
      <c r="AK56" s="50"/>
      <c r="AL56" s="221" t="str">
        <f t="shared" si="10"/>
        <v/>
      </c>
      <c r="AM56" s="69" t="str">
        <f t="shared" si="16"/>
        <v/>
      </c>
      <c r="AN56" s="69" t="str">
        <f t="shared" si="17"/>
        <v/>
      </c>
      <c r="AO56" s="24" t="str">
        <f t="shared" si="15"/>
        <v/>
      </c>
      <c r="AP56" s="284" t="str">
        <f t="shared" si="18"/>
        <v/>
      </c>
      <c r="AR56" s="35" t="str">
        <f t="shared" si="19"/>
        <v>Sembunyikan</v>
      </c>
    </row>
    <row r="57" spans="2:44">
      <c r="B57" s="7">
        <v>48</v>
      </c>
      <c r="C57" s="7" t="str">
        <f>'Data Siswa'!C51&amp;""</f>
        <v/>
      </c>
      <c r="D57" s="11" t="str">
        <f>'Data Siswa'!F51&amp;""</f>
        <v/>
      </c>
      <c r="E57" s="434"/>
      <c r="F57" s="50"/>
      <c r="G57" s="50"/>
      <c r="H57" s="221" t="str">
        <f t="shared" si="0"/>
        <v/>
      </c>
      <c r="I57" s="50"/>
      <c r="J57" s="50"/>
      <c r="K57" s="221" t="str">
        <f t="shared" si="1"/>
        <v/>
      </c>
      <c r="L57" s="50"/>
      <c r="M57" s="50"/>
      <c r="N57" s="221" t="str">
        <f t="shared" si="2"/>
        <v/>
      </c>
      <c r="O57" s="50"/>
      <c r="P57" s="50"/>
      <c r="Q57" s="221" t="str">
        <f t="shared" si="3"/>
        <v/>
      </c>
      <c r="R57" s="50"/>
      <c r="S57" s="50"/>
      <c r="T57" s="221" t="str">
        <f t="shared" si="4"/>
        <v/>
      </c>
      <c r="U57" s="50"/>
      <c r="V57" s="50"/>
      <c r="W57" s="221" t="str">
        <f t="shared" si="5"/>
        <v/>
      </c>
      <c r="X57" s="50"/>
      <c r="Y57" s="50"/>
      <c r="Z57" s="221" t="str">
        <f t="shared" si="6"/>
        <v/>
      </c>
      <c r="AA57" s="50"/>
      <c r="AB57" s="50"/>
      <c r="AC57" s="221" t="str">
        <f t="shared" si="7"/>
        <v/>
      </c>
      <c r="AD57" s="50"/>
      <c r="AE57" s="50"/>
      <c r="AF57" s="221" t="str">
        <f t="shared" si="8"/>
        <v/>
      </c>
      <c r="AG57" s="50"/>
      <c r="AH57" s="50"/>
      <c r="AI57" s="221" t="str">
        <f t="shared" si="9"/>
        <v/>
      </c>
      <c r="AJ57" s="50"/>
      <c r="AK57" s="50"/>
      <c r="AL57" s="221" t="str">
        <f t="shared" si="10"/>
        <v/>
      </c>
      <c r="AM57" s="69" t="str">
        <f t="shared" si="16"/>
        <v/>
      </c>
      <c r="AN57" s="69" t="str">
        <f t="shared" si="17"/>
        <v/>
      </c>
      <c r="AO57" s="24" t="str">
        <f t="shared" si="15"/>
        <v/>
      </c>
      <c r="AP57" s="284" t="str">
        <f t="shared" si="18"/>
        <v/>
      </c>
      <c r="AR57" s="35" t="str">
        <f t="shared" si="19"/>
        <v>Sembunyikan</v>
      </c>
    </row>
    <row r="58" spans="2:44">
      <c r="B58" s="7">
        <v>49</v>
      </c>
      <c r="C58" s="7" t="str">
        <f>'Data Siswa'!C52&amp;""</f>
        <v/>
      </c>
      <c r="D58" s="11" t="str">
        <f>'Data Siswa'!F52&amp;""</f>
        <v/>
      </c>
      <c r="E58" s="434"/>
      <c r="F58" s="50"/>
      <c r="G58" s="50"/>
      <c r="H58" s="221" t="str">
        <f t="shared" si="0"/>
        <v/>
      </c>
      <c r="I58" s="50"/>
      <c r="J58" s="50"/>
      <c r="K58" s="221" t="str">
        <f t="shared" si="1"/>
        <v/>
      </c>
      <c r="L58" s="50"/>
      <c r="M58" s="50"/>
      <c r="N58" s="221" t="str">
        <f t="shared" si="2"/>
        <v/>
      </c>
      <c r="O58" s="50"/>
      <c r="P58" s="50"/>
      <c r="Q58" s="221" t="str">
        <f t="shared" si="3"/>
        <v/>
      </c>
      <c r="R58" s="50"/>
      <c r="S58" s="50"/>
      <c r="T58" s="221" t="str">
        <f t="shared" si="4"/>
        <v/>
      </c>
      <c r="U58" s="50"/>
      <c r="V58" s="50"/>
      <c r="W58" s="221" t="str">
        <f t="shared" si="5"/>
        <v/>
      </c>
      <c r="X58" s="50"/>
      <c r="Y58" s="50"/>
      <c r="Z58" s="221" t="str">
        <f t="shared" si="6"/>
        <v/>
      </c>
      <c r="AA58" s="50"/>
      <c r="AB58" s="50"/>
      <c r="AC58" s="221" t="str">
        <f t="shared" si="7"/>
        <v/>
      </c>
      <c r="AD58" s="50"/>
      <c r="AE58" s="50"/>
      <c r="AF58" s="221" t="str">
        <f t="shared" si="8"/>
        <v/>
      </c>
      <c r="AG58" s="50"/>
      <c r="AH58" s="50"/>
      <c r="AI58" s="221" t="str">
        <f t="shared" si="9"/>
        <v/>
      </c>
      <c r="AJ58" s="50"/>
      <c r="AK58" s="50"/>
      <c r="AL58" s="221" t="str">
        <f t="shared" si="10"/>
        <v/>
      </c>
      <c r="AM58" s="69" t="str">
        <f t="shared" si="16"/>
        <v/>
      </c>
      <c r="AN58" s="69" t="str">
        <f t="shared" si="17"/>
        <v/>
      </c>
      <c r="AO58" s="24" t="str">
        <f t="shared" si="15"/>
        <v/>
      </c>
      <c r="AP58" s="284" t="str">
        <f t="shared" si="18"/>
        <v/>
      </c>
      <c r="AR58" s="35" t="str">
        <f t="shared" si="19"/>
        <v>Sembunyikan</v>
      </c>
    </row>
    <row r="59" spans="2:44">
      <c r="B59" s="7">
        <v>50</v>
      </c>
      <c r="C59" s="7" t="str">
        <f>'Data Siswa'!C53&amp;""</f>
        <v/>
      </c>
      <c r="D59" s="11" t="str">
        <f>'Data Siswa'!F53&amp;""</f>
        <v/>
      </c>
      <c r="E59" s="435"/>
      <c r="F59" s="50"/>
      <c r="G59" s="50"/>
      <c r="H59" s="221" t="str">
        <f t="shared" si="0"/>
        <v/>
      </c>
      <c r="I59" s="50"/>
      <c r="J59" s="50"/>
      <c r="K59" s="221" t="str">
        <f t="shared" si="1"/>
        <v/>
      </c>
      <c r="L59" s="50"/>
      <c r="M59" s="50"/>
      <c r="N59" s="221" t="str">
        <f t="shared" si="2"/>
        <v/>
      </c>
      <c r="O59" s="50"/>
      <c r="P59" s="50"/>
      <c r="Q59" s="221" t="str">
        <f t="shared" si="3"/>
        <v/>
      </c>
      <c r="R59" s="50"/>
      <c r="S59" s="50"/>
      <c r="T59" s="221" t="str">
        <f t="shared" si="4"/>
        <v/>
      </c>
      <c r="U59" s="50"/>
      <c r="V59" s="50"/>
      <c r="W59" s="221" t="str">
        <f t="shared" si="5"/>
        <v/>
      </c>
      <c r="X59" s="50"/>
      <c r="Y59" s="50"/>
      <c r="Z59" s="221" t="str">
        <f t="shared" si="6"/>
        <v/>
      </c>
      <c r="AA59" s="50"/>
      <c r="AB59" s="50"/>
      <c r="AC59" s="221" t="str">
        <f t="shared" si="7"/>
        <v/>
      </c>
      <c r="AD59" s="50"/>
      <c r="AE59" s="50"/>
      <c r="AF59" s="221" t="str">
        <f t="shared" si="8"/>
        <v/>
      </c>
      <c r="AG59" s="50"/>
      <c r="AH59" s="50"/>
      <c r="AI59" s="221" t="str">
        <f t="shared" si="9"/>
        <v/>
      </c>
      <c r="AJ59" s="50"/>
      <c r="AK59" s="50"/>
      <c r="AL59" s="221" t="str">
        <f t="shared" si="10"/>
        <v/>
      </c>
      <c r="AM59" s="69" t="str">
        <f t="shared" si="16"/>
        <v/>
      </c>
      <c r="AN59" s="69" t="str">
        <f t="shared" si="17"/>
        <v/>
      </c>
      <c r="AO59" s="24" t="str">
        <f t="shared" si="15"/>
        <v/>
      </c>
      <c r="AP59" s="284" t="str">
        <f t="shared" si="18"/>
        <v/>
      </c>
      <c r="AR59" s="35" t="str">
        <f t="shared" si="19"/>
        <v>Sembunyikan</v>
      </c>
    </row>
    <row r="61" spans="2:44">
      <c r="AD61" s="1" t="str">
        <f>Kabupaten&amp;", "&amp;TEXT(Tanggal,"DD MMMM YYYY")</f>
        <v>Wonogiri, 15 Juni 2022</v>
      </c>
    </row>
    <row r="62" spans="2:44">
      <c r="AD62" s="1" t="str">
        <f>"Kepala"&amp;" "&amp;Nama_Sekolah</f>
        <v>Kepala Sekolah Dasar Negeri 1 Giriharjo</v>
      </c>
    </row>
    <row r="63" spans="2:44">
      <c r="B63" s="213" t="s">
        <v>177</v>
      </c>
    </row>
    <row r="64" spans="2:44">
      <c r="B64" s="21" t="s">
        <v>178</v>
      </c>
    </row>
    <row r="66" spans="2:31">
      <c r="AD66" s="37">
        <f>Kepsek</f>
        <v>0</v>
      </c>
      <c r="AE66" s="37"/>
    </row>
    <row r="67" spans="2:31">
      <c r="AD67" s="36">
        <f>NIP_Kepsek</f>
        <v>0</v>
      </c>
      <c r="AE67" s="36"/>
    </row>
    <row r="71" spans="2:31">
      <c r="B71" s="192" t="s">
        <v>134</v>
      </c>
    </row>
  </sheetData>
  <sheetProtection sheet="1" objects="1" formatCells="0" formatColumns="0" autoFilter="0"/>
  <autoFilter ref="AR8:AR59"/>
  <mergeCells count="30">
    <mergeCell ref="E10:E59"/>
    <mergeCell ref="AP7:AP9"/>
    <mergeCell ref="F8:G8"/>
    <mergeCell ref="I8:J8"/>
    <mergeCell ref="L8:M8"/>
    <mergeCell ref="O8:P8"/>
    <mergeCell ref="R8:S8"/>
    <mergeCell ref="U8:V8"/>
    <mergeCell ref="X8:Y8"/>
    <mergeCell ref="AA8:AB8"/>
    <mergeCell ref="AD8:AE8"/>
    <mergeCell ref="Z7:Z9"/>
    <mergeCell ref="AC7:AC9"/>
    <mergeCell ref="AF7:AF9"/>
    <mergeCell ref="AI7:AI9"/>
    <mergeCell ref="AL7:AL9"/>
    <mergeCell ref="AO7:AO9"/>
    <mergeCell ref="AG8:AH8"/>
    <mergeCell ref="AJ8:AK8"/>
    <mergeCell ref="B1:AP1"/>
    <mergeCell ref="B7:B9"/>
    <mergeCell ref="C7:C9"/>
    <mergeCell ref="D7:D9"/>
    <mergeCell ref="H7:H9"/>
    <mergeCell ref="K7:K9"/>
    <mergeCell ref="N7:N9"/>
    <mergeCell ref="Q7:Q9"/>
    <mergeCell ref="T7:T9"/>
    <mergeCell ref="W7:W9"/>
    <mergeCell ref="AM7:AN8"/>
  </mergeCells>
  <conditionalFormatting sqref="F10:F59">
    <cfRule type="cellIs" dxfId="22" priority="22" operator="lessThan">
      <formula>$F$7</formula>
    </cfRule>
  </conditionalFormatting>
  <conditionalFormatting sqref="G10:G59">
    <cfRule type="cellIs" dxfId="21" priority="21" operator="lessThan">
      <formula>$G$7</formula>
    </cfRule>
  </conditionalFormatting>
  <conditionalFormatting sqref="I10:I59">
    <cfRule type="cellIs" dxfId="20" priority="20" operator="lessThan">
      <formula>$I$7</formula>
    </cfRule>
  </conditionalFormatting>
  <conditionalFormatting sqref="J10:J59">
    <cfRule type="cellIs" dxfId="19" priority="19" operator="lessThan">
      <formula>$J$7</formula>
    </cfRule>
  </conditionalFormatting>
  <conditionalFormatting sqref="L10:L59">
    <cfRule type="cellIs" dxfId="18" priority="18" operator="lessThan">
      <formula>$L$7</formula>
    </cfRule>
  </conditionalFormatting>
  <conditionalFormatting sqref="M10:M59">
    <cfRule type="cellIs" dxfId="17" priority="17" operator="lessThan">
      <formula>$M$7</formula>
    </cfRule>
  </conditionalFormatting>
  <conditionalFormatting sqref="O10:O59">
    <cfRule type="cellIs" dxfId="16" priority="16" operator="lessThan">
      <formula>$O$7</formula>
    </cfRule>
  </conditionalFormatting>
  <conditionalFormatting sqref="P10:P59">
    <cfRule type="cellIs" dxfId="15" priority="15" operator="lessThan">
      <formula>$P$7</formula>
    </cfRule>
  </conditionalFormatting>
  <conditionalFormatting sqref="R10:R59">
    <cfRule type="cellIs" dxfId="14" priority="14" operator="lessThan">
      <formula>$R$7</formula>
    </cfRule>
  </conditionalFormatting>
  <conditionalFormatting sqref="S10:S59">
    <cfRule type="cellIs" dxfId="13" priority="13" operator="lessThan">
      <formula>$S$7</formula>
    </cfRule>
  </conditionalFormatting>
  <conditionalFormatting sqref="U10:U59">
    <cfRule type="cellIs" dxfId="12" priority="12" operator="lessThan">
      <formula>$U$7</formula>
    </cfRule>
  </conditionalFormatting>
  <conditionalFormatting sqref="V10:V59">
    <cfRule type="cellIs" dxfId="11" priority="11" operator="lessThan">
      <formula>$V$7</formula>
    </cfRule>
  </conditionalFormatting>
  <conditionalFormatting sqref="X10:X59">
    <cfRule type="cellIs" dxfId="10" priority="10" operator="lessThan">
      <formula>$X$7</formula>
    </cfRule>
  </conditionalFormatting>
  <conditionalFormatting sqref="Y10:Y59">
    <cfRule type="cellIs" dxfId="9" priority="9" operator="lessThan">
      <formula>$Y$7</formula>
    </cfRule>
  </conditionalFormatting>
  <conditionalFormatting sqref="AA10:AA59">
    <cfRule type="cellIs" dxfId="8" priority="8" operator="lessThan">
      <formula>$AA$7</formula>
    </cfRule>
  </conditionalFormatting>
  <conditionalFormatting sqref="AB10:AB59">
    <cfRule type="cellIs" dxfId="7" priority="7" operator="lessThan">
      <formula>$AB$7</formula>
    </cfRule>
  </conditionalFormatting>
  <conditionalFormatting sqref="AD10:AD59">
    <cfRule type="cellIs" dxfId="6" priority="6" operator="lessThan">
      <formula>$AD$7</formula>
    </cfRule>
  </conditionalFormatting>
  <conditionalFormatting sqref="AE10:AE59">
    <cfRule type="cellIs" dxfId="5" priority="5" operator="lessThan">
      <formula>$AE$7</formula>
    </cfRule>
  </conditionalFormatting>
  <conditionalFormatting sqref="AG10:AG59">
    <cfRule type="cellIs" dxfId="4" priority="4" operator="lessThan">
      <formula>$AG$7</formula>
    </cfRule>
  </conditionalFormatting>
  <conditionalFormatting sqref="AH10:AH59">
    <cfRule type="cellIs" dxfId="3" priority="3" operator="lessThan">
      <formula>$AH$7</formula>
    </cfRule>
  </conditionalFormatting>
  <conditionalFormatting sqref="AJ10:AJ59">
    <cfRule type="cellIs" dxfId="2" priority="2" operator="lessThan">
      <formula>$AJ$7</formula>
    </cfRule>
  </conditionalFormatting>
  <conditionalFormatting sqref="AK10:AK59">
    <cfRule type="cellIs" dxfId="1" priority="1" operator="lessThan">
      <formula>$AK$7</formula>
    </cfRule>
  </conditionalFormatting>
  <dataValidations count="1">
    <dataValidation type="decimal" allowBlank="1" showInputMessage="1" showErrorMessage="1" error="LIHAT PENGATURAN NILAI !" sqref="AJ10:AK59 AJ7:AK7 AG10:AH59 AG7:AH7 AD7:AE7 AD10:AE59 AA10:AB59 AA7:AB7 X7:Y7 X10:Y59 U10:V59 U7:V7 R7:S7 R10:S59 O10:P59 O7:P7 L7:M7 L10:M59 I10:J59 I7:J7 F10:G59 F7:G7">
      <formula1>$AW$12</formula1>
      <formula2>$AW$13</formula2>
    </dataValidation>
  </dataValidations>
  <pageMargins left="0.31496062992125984" right="1.3779527559055118" top="0.35433070866141736" bottom="0.15748031496062992" header="0.31496062992125984" footer="0.31496062992125984"/>
  <pageSetup paperSize="5" scale="55" orientation="landscape" blackAndWhite="1" horizontalDpi="4294967293" verticalDpi="4294967293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B1:Z69"/>
  <sheetViews>
    <sheetView showGridLines="0" zoomScale="80" zoomScaleNormal="80" workbookViewId="0">
      <selection activeCell="X15" sqref="X15"/>
    </sheetView>
  </sheetViews>
  <sheetFormatPr defaultColWidth="9.1796875" defaultRowHeight="14.5"/>
  <cols>
    <col min="1" max="1" width="3.7265625" style="1" customWidth="1"/>
    <col min="2" max="2" width="5.26953125" style="1" customWidth="1"/>
    <col min="3" max="3" width="10.54296875" style="1" customWidth="1"/>
    <col min="4" max="4" width="38.26953125" style="1" customWidth="1"/>
    <col min="5" max="5" width="6.81640625" style="1" customWidth="1"/>
    <col min="6" max="13" width="8.453125" style="1" customWidth="1"/>
    <col min="14" max="14" width="11.6328125" style="1" customWidth="1"/>
    <col min="15" max="15" width="8.453125" style="1" customWidth="1"/>
    <col min="16" max="16" width="9" style="1" customWidth="1"/>
    <col min="17" max="17" width="8.453125" style="1" customWidth="1"/>
    <col min="18" max="18" width="13.7265625" style="1" bestFit="1" customWidth="1"/>
    <col min="19" max="19" width="8.453125" style="1" customWidth="1"/>
    <col min="20" max="20" width="2.81640625" style="1" customWidth="1"/>
    <col min="21" max="21" width="8.453125" style="1" customWidth="1"/>
    <col min="22" max="22" width="3.26953125" style="1" customWidth="1"/>
    <col min="23" max="23" width="2.1796875" style="1" customWidth="1"/>
    <col min="24" max="24" width="9.1796875" style="1" customWidth="1"/>
    <col min="25" max="25" width="19" style="1" customWidth="1"/>
    <col min="26" max="16384" width="9.1796875" style="1"/>
  </cols>
  <sheetData>
    <row r="1" spans="2:26" ht="20">
      <c r="B1" s="447" t="s">
        <v>73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204"/>
    </row>
    <row r="2" spans="2:26" ht="15" customHeight="1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2:26" ht="15" customHeight="1">
      <c r="D3" s="27" t="s">
        <v>13</v>
      </c>
      <c r="E3" s="27"/>
      <c r="F3" s="29" t="s">
        <v>67</v>
      </c>
      <c r="G3" s="28" t="str">
        <f>UPPER(Nama_Sekolah)</f>
        <v>SEKOLAH DASAR NEGERI 1 GIRIHARJO</v>
      </c>
      <c r="H3" s="30"/>
      <c r="I3" s="30"/>
      <c r="J3" s="30"/>
    </row>
    <row r="4" spans="2:26">
      <c r="D4" s="27" t="s">
        <v>14</v>
      </c>
      <c r="E4" s="27"/>
      <c r="F4" s="29" t="s">
        <v>67</v>
      </c>
      <c r="G4" s="28" t="str">
        <f>NPSN</f>
        <v>20311583</v>
      </c>
      <c r="H4" s="30"/>
      <c r="I4" s="30"/>
      <c r="J4" s="30"/>
    </row>
    <row r="5" spans="2:26">
      <c r="D5" s="27" t="s">
        <v>68</v>
      </c>
      <c r="E5" s="27"/>
      <c r="F5" s="29" t="s">
        <v>67</v>
      </c>
      <c r="G5" s="28" t="str">
        <f>Kecamatan&amp;", "&amp;Kabupaten&amp;", "&amp;Provinsi</f>
        <v>Puhpelem, Wonogiri, Jawa Tengah</v>
      </c>
      <c r="H5" s="30"/>
      <c r="I5" s="30"/>
      <c r="J5" s="30"/>
    </row>
    <row r="6" spans="2:26" ht="9" customHeight="1">
      <c r="D6" s="21"/>
      <c r="E6" s="21"/>
      <c r="F6" s="23"/>
      <c r="G6" s="22"/>
    </row>
    <row r="7" spans="2:26" ht="21" customHeight="1" thickBot="1">
      <c r="B7" s="228" t="s">
        <v>7</v>
      </c>
      <c r="C7" s="229" t="s">
        <v>43</v>
      </c>
      <c r="D7" s="229" t="s">
        <v>8</v>
      </c>
      <c r="E7" s="230" t="s">
        <v>69</v>
      </c>
      <c r="F7" s="231" t="str">
        <f>PENGATURAN!F5</f>
        <v>Agama</v>
      </c>
      <c r="G7" s="231" t="str">
        <f>PENGATURAN!F6</f>
        <v>PKn</v>
      </c>
      <c r="H7" s="231" t="str">
        <f>PENGATURAN!F7</f>
        <v>B. Ind.</v>
      </c>
      <c r="I7" s="231" t="str">
        <f>PENGATURAN!F8</f>
        <v>MTK</v>
      </c>
      <c r="J7" s="231" t="str">
        <f>PENGATURAN!F9</f>
        <v>IPA</v>
      </c>
      <c r="K7" s="231" t="str">
        <f>PENGATURAN!F10</f>
        <v xml:space="preserve">IPS </v>
      </c>
      <c r="L7" s="231" t="str">
        <f>PENGATURAN!F11</f>
        <v>SBdP</v>
      </c>
      <c r="M7" s="231" t="str">
        <f>PENGATURAN!F12</f>
        <v>PJOK</v>
      </c>
      <c r="N7" s="231" t="str">
        <f>PENGATURAN!F16</f>
        <v>Bahasa Jawa</v>
      </c>
      <c r="O7" s="231">
        <f>PENGATURAN!F17</f>
        <v>0</v>
      </c>
      <c r="P7" s="231">
        <f>PENGATURAN!F18</f>
        <v>0</v>
      </c>
      <c r="Q7" s="229" t="s">
        <v>9</v>
      </c>
      <c r="R7" s="229" t="s">
        <v>10</v>
      </c>
      <c r="S7" s="229" t="s">
        <v>137</v>
      </c>
      <c r="U7" s="199" t="s">
        <v>71</v>
      </c>
    </row>
    <row r="8" spans="2:26" ht="15" thickTop="1">
      <c r="B8" s="232">
        <v>1</v>
      </c>
      <c r="C8" s="232" t="str">
        <f>'Data Siswa'!C4&amp;""</f>
        <v>2887</v>
      </c>
      <c r="D8" s="233" t="str">
        <f>'Data Siswa'!F4&amp;""</f>
        <v/>
      </c>
      <c r="E8" s="475"/>
      <c r="F8" s="402">
        <f>IFERROR(AVERAGE('KL IV SMT 1'!H10,'KL IV SMT 2'!H10,'KL V SMT 1'!H10,'KL V SMT 2'!H10,'KL VI SMT 1'!H10,'SMT12'!H10)/Sat,"")</f>
        <v>91.2</v>
      </c>
      <c r="G8" s="402">
        <f>IFERROR(AVERAGE('KL IV SMT 1'!K10,'KL IV SMT 2'!K10,'KL V SMT 1'!K10,'KL V SMT 2'!K10,'KL VI SMT 1'!K10,'SMT12'!K10)/Sat,"")</f>
        <v>86.6</v>
      </c>
      <c r="H8" s="402">
        <f>IFERROR(AVERAGE('KL IV SMT 1'!N10,'KL IV SMT 2'!N10,'KL V SMT 1'!N10,'KL V SMT 2'!N10,'KL VI SMT 1'!N10,'SMT12'!N10)/Sat,"")</f>
        <v>87.1</v>
      </c>
      <c r="I8" s="402">
        <f>IFERROR(AVERAGE('KL IV SMT 1'!Q10,'KL IV SMT 2'!Q10,'KL V SMT 1'!Q10,'KL V SMT 2'!Q10,'KL VI SMT 1'!Q10,'SMT12'!Q10)/Sat,"")</f>
        <v>80.5</v>
      </c>
      <c r="J8" s="402">
        <f>IFERROR(AVERAGE('KL IV SMT 1'!T10,'KL IV SMT 2'!T10,'KL V SMT 1'!T10,'KL V SMT 2'!T10,'KL VI SMT 1'!T10,'SMT12'!T10)/Sat,"")</f>
        <v>82.9</v>
      </c>
      <c r="K8" s="402">
        <f>IFERROR(AVERAGE('KL IV SMT 1'!W10,'KL IV SMT 2'!W10,'KL V SMT 1'!W10,'KL V SMT 2'!W10,'KL VI SMT 1'!W10,'SMT12'!W10)/Sat,"")</f>
        <v>84.6</v>
      </c>
      <c r="L8" s="402">
        <f>IFERROR(AVERAGE('KL IV SMT 1'!Z10,'KL IV SMT 2'!Z10,'KL V SMT 1'!Z10,'KL V SMT 2'!Z10,'KL VI SMT 1'!Z10,'SMT12'!Z10)/Sat,"")</f>
        <v>85.2</v>
      </c>
      <c r="M8" s="402">
        <f>IFERROR(AVERAGE('KL IV SMT 1'!AC10,'KL IV SMT 2'!AC10,'KL V SMT 1'!AC10,'KL V SMT 2'!AC10,'KL VI SMT 1'!AC10,'SMT12'!AC10)/Sat,"")</f>
        <v>87.2</v>
      </c>
      <c r="N8" s="402">
        <f>IFERROR(AVERAGE('KL IV SMT 1'!AF10,'KL IV SMT 2'!AF10,'KL V SMT 1'!AF10,'KL V SMT 2'!AF10,'KL VI SMT 1'!AF10,'SMT12'!AF10)/Sat,"")</f>
        <v>84.7</v>
      </c>
      <c r="O8" s="402" t="str">
        <f>IFERROR(AVERAGE('KL IV SMT 1'!AI10,'KL IV SMT 2'!AI10,'KL V SMT 1'!AI10,'KL V SMT 2'!AI10,'KL VI SMT 1'!AI10,'SMT12'!AI10)/Sat,"")</f>
        <v/>
      </c>
      <c r="P8" s="402" t="str">
        <f>IFERROR(AVERAGE('KL IV SMT 1'!AL10,'KL IV SMT 2'!AL10,'KL V SMT 1'!AL10,'KL V SMT 2'!AL10,'KL VI SMT 1'!AL10,'SMT12'!AL10)/Sat,"")</f>
        <v/>
      </c>
      <c r="Q8" s="403">
        <f>IF(SUM(F8:P8)=0,"",SUM(F8:P8))</f>
        <v>770.00000000000011</v>
      </c>
      <c r="R8" s="403">
        <f t="shared" ref="R8:R39" si="0">IFERROR(AVERAGE(F8:P8)/Sat,"")</f>
        <v>85.555555555555571</v>
      </c>
      <c r="S8" s="235">
        <f>IFERROR(RANK(R8,$R$8:$R$57,0),"")</f>
        <v>5</v>
      </c>
      <c r="T8" s="19"/>
      <c r="U8" s="35" t="str">
        <f>IF(D8="","Kosong","Data")</f>
        <v>Kosong</v>
      </c>
    </row>
    <row r="9" spans="2:26">
      <c r="B9" s="236">
        <v>2</v>
      </c>
      <c r="C9" s="236" t="str">
        <f>'Data Siswa'!C5&amp;""</f>
        <v>2888</v>
      </c>
      <c r="D9" s="237" t="str">
        <f>'Data Siswa'!F5&amp;""</f>
        <v/>
      </c>
      <c r="E9" s="475"/>
      <c r="F9" s="402">
        <f>IFERROR(AVERAGE('KL IV SMT 1'!H11,'KL IV SMT 2'!H11,'KL V SMT 1'!H11,'KL V SMT 2'!H11,'KL VI SMT 1'!H11,'SMT12'!H11)/Sat,"")</f>
        <v>78.7</v>
      </c>
      <c r="G9" s="402">
        <f>IFERROR(AVERAGE('KL IV SMT 1'!K11,'KL IV SMT 2'!K11,'KL V SMT 1'!K11,'KL V SMT 2'!K11,'KL VI SMT 1'!K11,'SMT12'!K11)/Sat,"")</f>
        <v>79.900000000000006</v>
      </c>
      <c r="H9" s="402">
        <f>IFERROR(AVERAGE('KL IV SMT 1'!N11,'KL IV SMT 2'!N11,'KL V SMT 1'!N11,'KL V SMT 2'!N11,'KL VI SMT 1'!N11,'SMT12'!N11)/Sat,"")</f>
        <v>78.099999999999994</v>
      </c>
      <c r="I9" s="402">
        <f>IFERROR(AVERAGE('KL IV SMT 1'!Q11,'KL IV SMT 2'!Q11,'KL V SMT 1'!Q11,'KL V SMT 2'!Q11,'KL VI SMT 1'!Q11,'SMT12'!Q11)/Sat,"")</f>
        <v>71.400000000000006</v>
      </c>
      <c r="J9" s="402">
        <f>IFERROR(AVERAGE('KL IV SMT 1'!T11,'KL IV SMT 2'!T11,'KL V SMT 1'!T11,'KL V SMT 2'!T11,'KL VI SMT 1'!T11,'SMT12'!T11)/Sat,"")</f>
        <v>76.8</v>
      </c>
      <c r="K9" s="402">
        <f>IFERROR(AVERAGE('KL IV SMT 1'!W11,'KL IV SMT 2'!W11,'KL V SMT 1'!W11,'KL V SMT 2'!W11,'KL VI SMT 1'!W11,'SMT12'!W11)/Sat,"")</f>
        <v>77.900000000000006</v>
      </c>
      <c r="L9" s="402">
        <f>IFERROR(AVERAGE('KL IV SMT 1'!Z11,'KL IV SMT 2'!Z11,'KL V SMT 1'!Z11,'KL V SMT 2'!Z11,'KL VI SMT 1'!Z11,'SMT12'!Z11)/Sat,"")</f>
        <v>78.5</v>
      </c>
      <c r="M9" s="402">
        <f>IFERROR(AVERAGE('KL IV SMT 1'!AC11,'KL IV SMT 2'!AC11,'KL V SMT 1'!AC11,'KL V SMT 2'!AC11,'KL VI SMT 1'!AC11,'SMT12'!AC11)/Sat,"")</f>
        <v>79</v>
      </c>
      <c r="N9" s="402">
        <f>IFERROR(AVERAGE('KL IV SMT 1'!AF11,'KL IV SMT 2'!AF11,'KL V SMT 1'!AF11,'KL V SMT 2'!AF11,'KL VI SMT 1'!AF11,'SMT12'!AF11)/Sat,"")</f>
        <v>75.900000000000006</v>
      </c>
      <c r="O9" s="402" t="str">
        <f>IFERROR(AVERAGE('KL IV SMT 1'!AI11,'KL IV SMT 2'!AI11,'KL V SMT 1'!AI11,'KL V SMT 2'!AI11,'KL VI SMT 1'!AI11,'SMT12'!AI11)/Sat,"")</f>
        <v/>
      </c>
      <c r="P9" s="402" t="str">
        <f>IFERROR(AVERAGE('KL IV SMT 1'!AL11,'KL IV SMT 2'!AL11,'KL V SMT 1'!AL11,'KL V SMT 2'!AL11,'KL VI SMT 1'!AL11,'SMT12'!AL11)/Sat,"")</f>
        <v/>
      </c>
      <c r="Q9" s="403">
        <f t="shared" ref="Q9:Q57" si="1">IF(SUM(F9:P9)=0,"",SUM(F9:P9))</f>
        <v>696.2</v>
      </c>
      <c r="R9" s="403">
        <f t="shared" si="0"/>
        <v>77.355555555555554</v>
      </c>
      <c r="S9" s="239">
        <f t="shared" ref="S9:S57" si="2">IFERROR(RANK(R9,$R$8:$R$57,0),"")</f>
        <v>20</v>
      </c>
      <c r="U9" s="35" t="str">
        <f t="shared" ref="U9:U57" si="3">IF(D9="","Kosong","Data")</f>
        <v>Kosong</v>
      </c>
      <c r="Y9" s="4" t="s">
        <v>46</v>
      </c>
      <c r="Z9" s="5"/>
    </row>
    <row r="10" spans="2:26">
      <c r="B10" s="236">
        <v>3</v>
      </c>
      <c r="C10" s="236" t="str">
        <f>'Data Siswa'!C6&amp;""</f>
        <v>2886</v>
      </c>
      <c r="D10" s="237" t="str">
        <f>'Data Siswa'!F6&amp;""</f>
        <v/>
      </c>
      <c r="E10" s="475"/>
      <c r="F10" s="402">
        <f>IFERROR(AVERAGE('KL IV SMT 1'!H12,'KL IV SMT 2'!H12,'KL V SMT 1'!H12,'KL V SMT 2'!H12,'KL VI SMT 1'!H12,'SMT12'!H12)/Sat,"")</f>
        <v>85.1</v>
      </c>
      <c r="G10" s="402">
        <f>IFERROR(AVERAGE('KL IV SMT 1'!K12,'KL IV SMT 2'!K12,'KL V SMT 1'!K12,'KL V SMT 2'!K12,'KL VI SMT 1'!K12,'SMT12'!K12)/Sat,"")</f>
        <v>81.099999999999994</v>
      </c>
      <c r="H10" s="402">
        <f>IFERROR(AVERAGE('KL IV SMT 1'!N12,'KL IV SMT 2'!N12,'KL V SMT 1'!N12,'KL V SMT 2'!N12,'KL VI SMT 1'!N12,'SMT12'!N12)/Sat,"")</f>
        <v>80.599999999999994</v>
      </c>
      <c r="I10" s="402">
        <f>IFERROR(AVERAGE('KL IV SMT 1'!Q12,'KL IV SMT 2'!Q12,'KL V SMT 1'!Q12,'KL V SMT 2'!Q12,'KL VI SMT 1'!Q12,'SMT12'!Q12)/Sat,"")</f>
        <v>74.2</v>
      </c>
      <c r="J10" s="402">
        <f>IFERROR(AVERAGE('KL IV SMT 1'!T12,'KL IV SMT 2'!T12,'KL V SMT 1'!T12,'KL V SMT 2'!T12,'KL VI SMT 1'!T12,'SMT12'!T12)/Sat,"")</f>
        <v>78.2</v>
      </c>
      <c r="K10" s="402">
        <f>IFERROR(AVERAGE('KL IV SMT 1'!W12,'KL IV SMT 2'!W12,'KL V SMT 1'!W12,'KL V SMT 2'!W12,'KL VI SMT 1'!W12,'SMT12'!W12)/Sat,"")</f>
        <v>78.400000000000006</v>
      </c>
      <c r="L10" s="402">
        <f>IFERROR(AVERAGE('KL IV SMT 1'!Z12,'KL IV SMT 2'!Z12,'KL V SMT 1'!Z12,'KL V SMT 2'!Z12,'KL VI SMT 1'!Z12,'SMT12'!Z12)/Sat,"")</f>
        <v>80.900000000000006</v>
      </c>
      <c r="M10" s="402">
        <f>IFERROR(AVERAGE('KL IV SMT 1'!AC12,'KL IV SMT 2'!AC12,'KL V SMT 1'!AC12,'KL V SMT 2'!AC12,'KL VI SMT 1'!AC12,'SMT12'!AC12)/Sat,"")</f>
        <v>80.3</v>
      </c>
      <c r="N10" s="402">
        <f>IFERROR(AVERAGE('KL IV SMT 1'!AF12,'KL IV SMT 2'!AF12,'KL V SMT 1'!AF12,'KL V SMT 2'!AF12,'KL VI SMT 1'!AF12,'SMT12'!AF12)/Sat,"")</f>
        <v>79.3</v>
      </c>
      <c r="O10" s="402" t="str">
        <f>IFERROR(AVERAGE('KL IV SMT 1'!AI12,'KL IV SMT 2'!AI12,'KL V SMT 1'!AI12,'KL V SMT 2'!AI12,'KL VI SMT 1'!AI12,'SMT12'!AI12)/Sat,"")</f>
        <v/>
      </c>
      <c r="P10" s="402" t="str">
        <f>IFERROR(AVERAGE('KL IV SMT 1'!AL12,'KL IV SMT 2'!AL12,'KL V SMT 1'!AL12,'KL V SMT 2'!AL12,'KL VI SMT 1'!AL12,'SMT12'!AL12)/Sat,"")</f>
        <v/>
      </c>
      <c r="Q10" s="403">
        <f t="shared" si="1"/>
        <v>718.09999999999991</v>
      </c>
      <c r="R10" s="403">
        <f t="shared" si="0"/>
        <v>79.788888888888877</v>
      </c>
      <c r="S10" s="239">
        <f t="shared" si="2"/>
        <v>17</v>
      </c>
      <c r="U10" s="35" t="str">
        <f t="shared" si="3"/>
        <v>Kosong</v>
      </c>
      <c r="Y10" s="6" t="s">
        <v>44</v>
      </c>
      <c r="Z10" s="2">
        <f>PENGATURAN!K5</f>
        <v>10</v>
      </c>
    </row>
    <row r="11" spans="2:26">
      <c r="B11" s="236">
        <v>4</v>
      </c>
      <c r="C11" s="236" t="str">
        <f>'Data Siswa'!C7&amp;""</f>
        <v>2864</v>
      </c>
      <c r="D11" s="237" t="str">
        <f>'Data Siswa'!F7&amp;""</f>
        <v/>
      </c>
      <c r="E11" s="475"/>
      <c r="F11" s="402">
        <f>IFERROR(AVERAGE('KL IV SMT 1'!H13,'KL IV SMT 2'!H13,'KL V SMT 1'!H13,'KL V SMT 2'!H13,'KL VI SMT 1'!H13,'SMT12'!H13)/Sat,"")</f>
        <v>79.2</v>
      </c>
      <c r="G11" s="402">
        <f>IFERROR(AVERAGE('KL IV SMT 1'!K13,'KL IV SMT 2'!K13,'KL V SMT 1'!K13,'KL V SMT 2'!K13,'KL VI SMT 1'!K13,'SMT12'!K13)/Sat,"")</f>
        <v>80.400000000000006</v>
      </c>
      <c r="H11" s="402">
        <f>IFERROR(AVERAGE('KL IV SMT 1'!N13,'KL IV SMT 2'!N13,'KL V SMT 1'!N13,'KL V SMT 2'!N13,'KL VI SMT 1'!N13,'SMT12'!N13)/Sat,"")</f>
        <v>79.3</v>
      </c>
      <c r="I11" s="402">
        <f>IFERROR(AVERAGE('KL IV SMT 1'!Q13,'KL IV SMT 2'!Q13,'KL V SMT 1'!Q13,'KL V SMT 2'!Q13,'KL VI SMT 1'!Q13,'SMT12'!Q13)/Sat,"")</f>
        <v>70</v>
      </c>
      <c r="J11" s="402">
        <f>IFERROR(AVERAGE('KL IV SMT 1'!T13,'KL IV SMT 2'!T13,'KL V SMT 1'!T13,'KL V SMT 2'!T13,'KL VI SMT 1'!T13,'SMT12'!T13)/Sat,"")</f>
        <v>76.3</v>
      </c>
      <c r="K11" s="402">
        <f>IFERROR(AVERAGE('KL IV SMT 1'!W13,'KL IV SMT 2'!W13,'KL V SMT 1'!W13,'KL V SMT 2'!W13,'KL VI SMT 1'!W13,'SMT12'!W13)/Sat,"")</f>
        <v>78.2</v>
      </c>
      <c r="L11" s="402">
        <f>IFERROR(AVERAGE('KL IV SMT 1'!Z13,'KL IV SMT 2'!Z13,'KL V SMT 1'!Z13,'KL V SMT 2'!Z13,'KL VI SMT 1'!Z13,'SMT12'!Z13)/Sat,"")</f>
        <v>79.099999999999994</v>
      </c>
      <c r="M11" s="402">
        <f>IFERROR(AVERAGE('KL IV SMT 1'!AC13,'KL IV SMT 2'!AC13,'KL V SMT 1'!AC13,'KL V SMT 2'!AC13,'KL VI SMT 1'!AC13,'SMT12'!AC13)/Sat,"")</f>
        <v>79.900000000000006</v>
      </c>
      <c r="N11" s="402">
        <f>IFERROR(AVERAGE('KL IV SMT 1'!AF13,'KL IV SMT 2'!AF13,'KL V SMT 1'!AF13,'KL V SMT 2'!AF13,'KL VI SMT 1'!AF13,'SMT12'!AF13)/Sat,"")</f>
        <v>76.400000000000006</v>
      </c>
      <c r="O11" s="402" t="str">
        <f>IFERROR(AVERAGE('KL IV SMT 1'!AI13,'KL IV SMT 2'!AI13,'KL V SMT 1'!AI13,'KL V SMT 2'!AI13,'KL VI SMT 1'!AI13,'SMT12'!AI13)/Sat,"")</f>
        <v/>
      </c>
      <c r="P11" s="402" t="str">
        <f>IFERROR(AVERAGE('KL IV SMT 1'!AL13,'KL IV SMT 2'!AL13,'KL V SMT 1'!AL13,'KL V SMT 2'!AL13,'KL VI SMT 1'!AL13,'SMT12'!AL13)/Sat,"")</f>
        <v/>
      </c>
      <c r="Q11" s="403">
        <f t="shared" si="1"/>
        <v>698.8</v>
      </c>
      <c r="R11" s="403">
        <f t="shared" si="0"/>
        <v>77.644444444444446</v>
      </c>
      <c r="S11" s="239">
        <f t="shared" si="2"/>
        <v>19</v>
      </c>
      <c r="U11" s="35" t="str">
        <f t="shared" si="3"/>
        <v>Kosong</v>
      </c>
      <c r="Y11" s="6" t="s">
        <v>45</v>
      </c>
      <c r="Z11" s="2">
        <f>PENGATURAN!K6</f>
        <v>100</v>
      </c>
    </row>
    <row r="12" spans="2:26">
      <c r="B12" s="236">
        <v>5</v>
      </c>
      <c r="C12" s="236" t="str">
        <f>'Data Siswa'!C8&amp;""</f>
        <v>2890</v>
      </c>
      <c r="D12" s="237" t="str">
        <f>'Data Siswa'!F8&amp;""</f>
        <v/>
      </c>
      <c r="E12" s="475"/>
      <c r="F12" s="402">
        <f>IFERROR(AVERAGE('KL IV SMT 1'!H14,'KL IV SMT 2'!H14,'KL V SMT 1'!H14,'KL V SMT 2'!H14,'KL VI SMT 1'!H14,'SMT12'!H14)/Sat,"")</f>
        <v>83</v>
      </c>
      <c r="G12" s="402">
        <f>IFERROR(AVERAGE('KL IV SMT 1'!K14,'KL IV SMT 2'!K14,'KL V SMT 1'!K14,'KL V SMT 2'!K14,'KL VI SMT 1'!K14,'SMT12'!K14)/Sat,"")</f>
        <v>81</v>
      </c>
      <c r="H12" s="402">
        <f>IFERROR(AVERAGE('KL IV SMT 1'!N14,'KL IV SMT 2'!N14,'KL V SMT 1'!N14,'KL V SMT 2'!N14,'KL VI SMT 1'!N14,'SMT12'!N14)/Sat,"")</f>
        <v>81.7</v>
      </c>
      <c r="I12" s="402">
        <f>IFERROR(AVERAGE('KL IV SMT 1'!Q14,'KL IV SMT 2'!Q14,'KL V SMT 1'!Q14,'KL V SMT 2'!Q14,'KL VI SMT 1'!Q14,'SMT12'!Q14)/Sat,"")</f>
        <v>77.599999999999994</v>
      </c>
      <c r="J12" s="402">
        <f>IFERROR(AVERAGE('KL IV SMT 1'!T14,'KL IV SMT 2'!T14,'KL V SMT 1'!T14,'KL V SMT 2'!T14,'KL VI SMT 1'!T14,'SMT12'!T14)/Sat,"")</f>
        <v>79.8</v>
      </c>
      <c r="K12" s="402">
        <f>IFERROR(AVERAGE('KL IV SMT 1'!W14,'KL IV SMT 2'!W14,'KL V SMT 1'!W14,'KL V SMT 2'!W14,'KL VI SMT 1'!W14,'SMT12'!W14)/Sat,"")</f>
        <v>80.7</v>
      </c>
      <c r="L12" s="402">
        <f>IFERROR(AVERAGE('KL IV SMT 1'!Z14,'KL IV SMT 2'!Z14,'KL V SMT 1'!Z14,'KL V SMT 2'!Z14,'KL VI SMT 1'!Z14,'SMT12'!Z14)/Sat,"")</f>
        <v>81.5</v>
      </c>
      <c r="M12" s="402">
        <f>IFERROR(AVERAGE('KL IV SMT 1'!AC14,'KL IV SMT 2'!AC14,'KL V SMT 1'!AC14,'KL V SMT 2'!AC14,'KL VI SMT 1'!AC14,'SMT12'!AC14)/Sat,"")</f>
        <v>82.4</v>
      </c>
      <c r="N12" s="402">
        <f>IFERROR(AVERAGE('KL IV SMT 1'!AF14,'KL IV SMT 2'!AF14,'KL V SMT 1'!AF14,'KL V SMT 2'!AF14,'KL VI SMT 1'!AF14,'SMT12'!AF14)/Sat,"")</f>
        <v>78.7</v>
      </c>
      <c r="O12" s="402" t="str">
        <f>IFERROR(AVERAGE('KL IV SMT 1'!AI14,'KL IV SMT 2'!AI14,'KL V SMT 1'!AI14,'KL V SMT 2'!AI14,'KL VI SMT 1'!AI14,'SMT12'!AI14)/Sat,"")</f>
        <v/>
      </c>
      <c r="P12" s="402" t="str">
        <f>IFERROR(AVERAGE('KL IV SMT 1'!AL14,'KL IV SMT 2'!AL14,'KL V SMT 1'!AL14,'KL V SMT 2'!AL14,'KL VI SMT 1'!AL14,'SMT12'!AL14)/Sat,"")</f>
        <v/>
      </c>
      <c r="Q12" s="403">
        <f t="shared" si="1"/>
        <v>726.4</v>
      </c>
      <c r="R12" s="403">
        <f t="shared" si="0"/>
        <v>80.711111111111109</v>
      </c>
      <c r="S12" s="239">
        <f t="shared" si="2"/>
        <v>14</v>
      </c>
      <c r="U12" s="35" t="str">
        <f t="shared" si="3"/>
        <v>Kosong</v>
      </c>
    </row>
    <row r="13" spans="2:26">
      <c r="B13" s="236">
        <v>6</v>
      </c>
      <c r="C13" s="236" t="str">
        <f>'Data Siswa'!C9&amp;""</f>
        <v>2889</v>
      </c>
      <c r="D13" s="237" t="str">
        <f>'Data Siswa'!F9&amp;""</f>
        <v/>
      </c>
      <c r="E13" s="475"/>
      <c r="F13" s="402">
        <f>IFERROR(AVERAGE('KL IV SMT 1'!H15,'KL IV SMT 2'!H15,'KL V SMT 1'!H15,'KL V SMT 2'!H15,'KL VI SMT 1'!H15,'SMT12'!H15)/Sat,"")</f>
        <v>82.3</v>
      </c>
      <c r="G13" s="402">
        <f>IFERROR(AVERAGE('KL IV SMT 1'!K15,'KL IV SMT 2'!K15,'KL V SMT 1'!K15,'KL V SMT 2'!K15,'KL VI SMT 1'!K15,'SMT12'!K15)/Sat,"")</f>
        <v>81.5</v>
      </c>
      <c r="H13" s="402">
        <f>IFERROR(AVERAGE('KL IV SMT 1'!N15,'KL IV SMT 2'!N15,'KL V SMT 1'!N15,'KL V SMT 2'!N15,'KL VI SMT 1'!N15,'SMT12'!N15)/Sat,"")</f>
        <v>80</v>
      </c>
      <c r="I13" s="402">
        <f>IFERROR(AVERAGE('KL IV SMT 1'!Q15,'KL IV SMT 2'!Q15,'KL V SMT 1'!Q15,'KL V SMT 2'!Q15,'KL VI SMT 1'!Q15,'SMT12'!Q15)/Sat,"")</f>
        <v>75.900000000000006</v>
      </c>
      <c r="J13" s="402">
        <f>IFERROR(AVERAGE('KL IV SMT 1'!T15,'KL IV SMT 2'!T15,'KL V SMT 1'!T15,'KL V SMT 2'!T15,'KL VI SMT 1'!T15,'SMT12'!T15)/Sat,"")</f>
        <v>81.2</v>
      </c>
      <c r="K13" s="402">
        <f>IFERROR(AVERAGE('KL IV SMT 1'!W15,'KL IV SMT 2'!W15,'KL V SMT 1'!W15,'KL V SMT 2'!W15,'KL VI SMT 1'!W15,'SMT12'!W15)/Sat,"")</f>
        <v>81.099999999999994</v>
      </c>
      <c r="L13" s="402">
        <f>IFERROR(AVERAGE('KL IV SMT 1'!Z15,'KL IV SMT 2'!Z15,'KL V SMT 1'!Z15,'KL V SMT 2'!Z15,'KL VI SMT 1'!Z15,'SMT12'!Z15)/Sat,"")</f>
        <v>81.2</v>
      </c>
      <c r="M13" s="402">
        <f>IFERROR(AVERAGE('KL IV SMT 1'!AC15,'KL IV SMT 2'!AC15,'KL V SMT 1'!AC15,'KL V SMT 2'!AC15,'KL VI SMT 1'!AC15,'SMT12'!AC15)/Sat,"")</f>
        <v>81</v>
      </c>
      <c r="N13" s="402">
        <f>IFERROR(AVERAGE('KL IV SMT 1'!AF15,'KL IV SMT 2'!AF15,'KL V SMT 1'!AF15,'KL V SMT 2'!AF15,'KL VI SMT 1'!AF15,'SMT12'!AF15)/Sat,"")</f>
        <v>77.099999999999994</v>
      </c>
      <c r="O13" s="402" t="str">
        <f>IFERROR(AVERAGE('KL IV SMT 1'!AI15,'KL IV SMT 2'!AI15,'KL V SMT 1'!AI15,'KL V SMT 2'!AI15,'KL VI SMT 1'!AI15,'SMT12'!AI15)/Sat,"")</f>
        <v/>
      </c>
      <c r="P13" s="402" t="str">
        <f>IFERROR(AVERAGE('KL IV SMT 1'!AL15,'KL IV SMT 2'!AL15,'KL V SMT 1'!AL15,'KL V SMT 2'!AL15,'KL VI SMT 1'!AL15,'SMT12'!AL15)/Sat,"")</f>
        <v/>
      </c>
      <c r="Q13" s="403">
        <f t="shared" si="1"/>
        <v>721.30000000000007</v>
      </c>
      <c r="R13" s="403">
        <f t="shared" si="0"/>
        <v>80.144444444444446</v>
      </c>
      <c r="S13" s="239">
        <f t="shared" si="2"/>
        <v>15</v>
      </c>
      <c r="U13" s="35" t="str">
        <f t="shared" si="3"/>
        <v>Kosong</v>
      </c>
    </row>
    <row r="14" spans="2:26">
      <c r="B14" s="236">
        <v>7</v>
      </c>
      <c r="C14" s="236" t="str">
        <f>'Data Siswa'!C10&amp;""</f>
        <v>2891</v>
      </c>
      <c r="D14" s="237" t="str">
        <f>'Data Siswa'!F10&amp;""</f>
        <v/>
      </c>
      <c r="E14" s="475"/>
      <c r="F14" s="402">
        <f>IFERROR(AVERAGE('KL IV SMT 1'!H16,'KL IV SMT 2'!H16,'KL V SMT 1'!H16,'KL V SMT 2'!H16,'KL VI SMT 1'!H16,'SMT12'!H16)/Sat,"")</f>
        <v>90.1</v>
      </c>
      <c r="G14" s="402">
        <f>IFERROR(AVERAGE('KL IV SMT 1'!K16,'KL IV SMT 2'!K16,'KL V SMT 1'!K16,'KL V SMT 2'!K16,'KL VI SMT 1'!K16,'SMT12'!K16)/Sat,"")</f>
        <v>86.3</v>
      </c>
      <c r="H14" s="402">
        <f>IFERROR(AVERAGE('KL IV SMT 1'!N16,'KL IV SMT 2'!N16,'KL V SMT 1'!N16,'KL V SMT 2'!N16,'KL VI SMT 1'!N16,'SMT12'!N16)/Sat,"")</f>
        <v>84.4</v>
      </c>
      <c r="I14" s="402">
        <f>IFERROR(AVERAGE('KL IV SMT 1'!Q16,'KL IV SMT 2'!Q16,'KL V SMT 1'!Q16,'KL V SMT 2'!Q16,'KL VI SMT 1'!Q16,'SMT12'!Q16)/Sat,"")</f>
        <v>80.7</v>
      </c>
      <c r="J14" s="402">
        <f>IFERROR(AVERAGE('KL IV SMT 1'!T16,'KL IV SMT 2'!T16,'KL V SMT 1'!T16,'KL V SMT 2'!T16,'KL VI SMT 1'!T16,'SMT12'!T16)/Sat,"")</f>
        <v>83.1</v>
      </c>
      <c r="K14" s="402">
        <f>IFERROR(AVERAGE('KL IV SMT 1'!W16,'KL IV SMT 2'!W16,'KL V SMT 1'!W16,'KL V SMT 2'!W16,'KL VI SMT 1'!W16,'SMT12'!W16)/Sat,"")</f>
        <v>83.3</v>
      </c>
      <c r="L14" s="402">
        <f>IFERROR(AVERAGE('KL IV SMT 1'!Z16,'KL IV SMT 2'!Z16,'KL V SMT 1'!Z16,'KL V SMT 2'!Z16,'KL VI SMT 1'!Z16,'SMT12'!Z16)/Sat,"")</f>
        <v>80.2</v>
      </c>
      <c r="M14" s="402">
        <f>IFERROR(AVERAGE('KL IV SMT 1'!AC16,'KL IV SMT 2'!AC16,'KL V SMT 1'!AC16,'KL V SMT 2'!AC16,'KL VI SMT 1'!AC16,'SMT12'!AC16)/Sat,"")</f>
        <v>85.1</v>
      </c>
      <c r="N14" s="402">
        <f>IFERROR(AVERAGE('KL IV SMT 1'!AF16,'KL IV SMT 2'!AF16,'KL V SMT 1'!AF16,'KL V SMT 2'!AF16,'KL VI SMT 1'!AF16,'SMT12'!AF16)/Sat,"")</f>
        <v>82.9</v>
      </c>
      <c r="O14" s="402" t="str">
        <f>IFERROR(AVERAGE('KL IV SMT 1'!AI16,'KL IV SMT 2'!AI16,'KL V SMT 1'!AI16,'KL V SMT 2'!AI16,'KL VI SMT 1'!AI16,'SMT12'!AI16)/Sat,"")</f>
        <v/>
      </c>
      <c r="P14" s="402" t="str">
        <f>IFERROR(AVERAGE('KL IV SMT 1'!AL16,'KL IV SMT 2'!AL16,'KL V SMT 1'!AL16,'KL V SMT 2'!AL16,'KL VI SMT 1'!AL16,'SMT12'!AL16)/Sat,"")</f>
        <v/>
      </c>
      <c r="Q14" s="403">
        <f t="shared" si="1"/>
        <v>756.09999999999991</v>
      </c>
      <c r="R14" s="403">
        <f t="shared" si="0"/>
        <v>84.011111111111106</v>
      </c>
      <c r="S14" s="239">
        <f t="shared" si="2"/>
        <v>7</v>
      </c>
      <c r="U14" s="35" t="str">
        <f t="shared" si="3"/>
        <v>Kosong</v>
      </c>
    </row>
    <row r="15" spans="2:26">
      <c r="B15" s="236">
        <v>8</v>
      </c>
      <c r="C15" s="236" t="str">
        <f>'Data Siswa'!C11&amp;""</f>
        <v>2893</v>
      </c>
      <c r="D15" s="237" t="str">
        <f>'Data Siswa'!F11&amp;""</f>
        <v/>
      </c>
      <c r="E15" s="475"/>
      <c r="F15" s="402">
        <f>IFERROR(AVERAGE('KL IV SMT 1'!H17,'KL IV SMT 2'!H17,'KL V SMT 1'!H17,'KL V SMT 2'!H17,'KL VI SMT 1'!H17,'SMT12'!H17)/Sat,"")</f>
        <v>82.9</v>
      </c>
      <c r="G15" s="402">
        <f>IFERROR(AVERAGE('KL IV SMT 1'!K17,'KL IV SMT 2'!K17,'KL V SMT 1'!K17,'KL V SMT 2'!K17,'KL VI SMT 1'!K17,'SMT12'!K17)/Sat,"")</f>
        <v>80.7</v>
      </c>
      <c r="H15" s="402">
        <f>IFERROR(AVERAGE('KL IV SMT 1'!N17,'KL IV SMT 2'!N17,'KL V SMT 1'!N17,'KL V SMT 2'!N17,'KL VI SMT 1'!N17,'SMT12'!N17)/Sat,"")</f>
        <v>81.5</v>
      </c>
      <c r="I15" s="402">
        <f>IFERROR(AVERAGE('KL IV SMT 1'!Q17,'KL IV SMT 2'!Q17,'KL V SMT 1'!Q17,'KL V SMT 2'!Q17,'KL VI SMT 1'!Q17,'SMT12'!Q17)/Sat,"")</f>
        <v>76.5</v>
      </c>
      <c r="J15" s="402">
        <f>IFERROR(AVERAGE('KL IV SMT 1'!T17,'KL IV SMT 2'!T17,'KL V SMT 1'!T17,'KL V SMT 2'!T17,'KL VI SMT 1'!T17,'SMT12'!T17)/Sat,"")</f>
        <v>80.3</v>
      </c>
      <c r="K15" s="402">
        <f>IFERROR(AVERAGE('KL IV SMT 1'!W17,'KL IV SMT 2'!W17,'KL V SMT 1'!W17,'KL V SMT 2'!W17,'KL VI SMT 1'!W17,'SMT12'!W17)/Sat,"")</f>
        <v>81.900000000000006</v>
      </c>
      <c r="L15" s="402">
        <f>IFERROR(AVERAGE('KL IV SMT 1'!Z17,'KL IV SMT 2'!Z17,'KL V SMT 1'!Z17,'KL V SMT 2'!Z17,'KL VI SMT 1'!Z17,'SMT12'!Z17)/Sat,"")</f>
        <v>81.599999999999994</v>
      </c>
      <c r="M15" s="402">
        <f>IFERROR(AVERAGE('KL IV SMT 1'!AC17,'KL IV SMT 2'!AC17,'KL V SMT 1'!AC17,'KL V SMT 2'!AC17,'KL VI SMT 1'!AC17,'SMT12'!AC17)/Sat,"")</f>
        <v>82.4</v>
      </c>
      <c r="N15" s="402">
        <f>IFERROR(AVERAGE('KL IV SMT 1'!AF17,'KL IV SMT 2'!AF17,'KL V SMT 1'!AF17,'KL V SMT 2'!AF17,'KL VI SMT 1'!AF17,'SMT12'!AF17)/Sat,"")</f>
        <v>80.3</v>
      </c>
      <c r="O15" s="402" t="str">
        <f>IFERROR(AVERAGE('KL IV SMT 1'!AI17,'KL IV SMT 2'!AI17,'KL V SMT 1'!AI17,'KL V SMT 2'!AI17,'KL VI SMT 1'!AI17,'SMT12'!AI17)/Sat,"")</f>
        <v/>
      </c>
      <c r="P15" s="402" t="str">
        <f>IFERROR(AVERAGE('KL IV SMT 1'!AL17,'KL IV SMT 2'!AL17,'KL V SMT 1'!AL17,'KL V SMT 2'!AL17,'KL VI SMT 1'!AL17,'SMT12'!AL17)/Sat,"")</f>
        <v/>
      </c>
      <c r="Q15" s="403">
        <f t="shared" si="1"/>
        <v>728.1</v>
      </c>
      <c r="R15" s="403">
        <f t="shared" si="0"/>
        <v>80.900000000000006</v>
      </c>
      <c r="S15" s="239">
        <f t="shared" si="2"/>
        <v>13</v>
      </c>
      <c r="U15" s="35" t="str">
        <f t="shared" si="3"/>
        <v>Kosong</v>
      </c>
    </row>
    <row r="16" spans="2:26">
      <c r="B16" s="236">
        <v>9</v>
      </c>
      <c r="C16" s="236" t="str">
        <f>'Data Siswa'!C12&amp;""</f>
        <v>2892</v>
      </c>
      <c r="D16" s="237" t="str">
        <f>'Data Siswa'!F12&amp;""</f>
        <v/>
      </c>
      <c r="E16" s="475"/>
      <c r="F16" s="402">
        <f>IFERROR(AVERAGE('KL IV SMT 1'!H18,'KL IV SMT 2'!H18,'KL V SMT 1'!H18,'KL V SMT 2'!H18,'KL VI SMT 1'!H18,'SMT12'!H18)/Sat,"")</f>
        <v>93.1</v>
      </c>
      <c r="G16" s="402">
        <f>IFERROR(AVERAGE('KL IV SMT 1'!K18,'KL IV SMT 2'!K18,'KL V SMT 1'!K18,'KL V SMT 2'!K18,'KL VI SMT 1'!K18,'SMT12'!K18)/Sat,"")</f>
        <v>89.7</v>
      </c>
      <c r="H16" s="402">
        <f>IFERROR(AVERAGE('KL IV SMT 1'!N18,'KL IV SMT 2'!N18,'KL V SMT 1'!N18,'KL V SMT 2'!N18,'KL VI SMT 1'!N18,'SMT12'!N18)/Sat,"")</f>
        <v>89.4</v>
      </c>
      <c r="I16" s="402">
        <f>IFERROR(AVERAGE('KL IV SMT 1'!Q18,'KL IV SMT 2'!Q18,'KL V SMT 1'!Q18,'KL V SMT 2'!Q18,'KL VI SMT 1'!Q18,'SMT12'!Q18)/Sat,"")</f>
        <v>87.4</v>
      </c>
      <c r="J16" s="402">
        <f>IFERROR(AVERAGE('KL IV SMT 1'!T18,'KL IV SMT 2'!T18,'KL V SMT 1'!T18,'KL V SMT 2'!T18,'KL VI SMT 1'!T18,'SMT12'!T18)/Sat,"")</f>
        <v>86.6</v>
      </c>
      <c r="K16" s="402">
        <f>IFERROR(AVERAGE('KL IV SMT 1'!W18,'KL IV SMT 2'!W18,'KL V SMT 1'!W18,'KL V SMT 2'!W18,'KL VI SMT 1'!W18,'SMT12'!W18)/Sat,"")</f>
        <v>88.8</v>
      </c>
      <c r="L16" s="402">
        <f>IFERROR(AVERAGE('KL IV SMT 1'!Z18,'KL IV SMT 2'!Z18,'KL V SMT 1'!Z18,'KL V SMT 2'!Z18,'KL VI SMT 1'!Z18,'SMT12'!Z18)/Sat,"")</f>
        <v>88.8</v>
      </c>
      <c r="M16" s="402">
        <f>IFERROR(AVERAGE('KL IV SMT 1'!AC18,'KL IV SMT 2'!AC18,'KL V SMT 1'!AC18,'KL V SMT 2'!AC18,'KL VI SMT 1'!AC18,'SMT12'!AC18)/Sat,"")</f>
        <v>88</v>
      </c>
      <c r="N16" s="402">
        <f>IFERROR(AVERAGE('KL IV SMT 1'!AF18,'KL IV SMT 2'!AF18,'KL V SMT 1'!AF18,'KL V SMT 2'!AF18,'KL VI SMT 1'!AF18,'SMT12'!AF18)/Sat,"")</f>
        <v>85.9</v>
      </c>
      <c r="O16" s="402" t="str">
        <f>IFERROR(AVERAGE('KL IV SMT 1'!AI18,'KL IV SMT 2'!AI18,'KL V SMT 1'!AI18,'KL V SMT 2'!AI18,'KL VI SMT 1'!AI18,'SMT12'!AI18)/Sat,"")</f>
        <v/>
      </c>
      <c r="P16" s="402" t="str">
        <f>IFERROR(AVERAGE('KL IV SMT 1'!AL18,'KL IV SMT 2'!AL18,'KL V SMT 1'!AL18,'KL V SMT 2'!AL18,'KL VI SMT 1'!AL18,'SMT12'!AL18)/Sat,"")</f>
        <v/>
      </c>
      <c r="Q16" s="403">
        <f t="shared" si="1"/>
        <v>797.69999999999993</v>
      </c>
      <c r="R16" s="403">
        <f t="shared" si="0"/>
        <v>88.633333333333326</v>
      </c>
      <c r="S16" s="239">
        <f t="shared" si="2"/>
        <v>2</v>
      </c>
      <c r="U16" s="35" t="str">
        <f t="shared" si="3"/>
        <v>Kosong</v>
      </c>
    </row>
    <row r="17" spans="2:21">
      <c r="B17" s="236">
        <v>10</v>
      </c>
      <c r="C17" s="236" t="str">
        <f>'Data Siswa'!C13&amp;""</f>
        <v>2894</v>
      </c>
      <c r="D17" s="237" t="str">
        <f>'Data Siswa'!F13&amp;""</f>
        <v/>
      </c>
      <c r="E17" s="475"/>
      <c r="F17" s="402">
        <f>IFERROR(AVERAGE('KL IV SMT 1'!H19,'KL IV SMT 2'!H19,'KL V SMT 1'!H19,'KL V SMT 2'!H19,'KL VI SMT 1'!H19,'SMT12'!H19)/Sat,"")</f>
        <v>89.8</v>
      </c>
      <c r="G17" s="402">
        <f>IFERROR(AVERAGE('KL IV SMT 1'!K19,'KL IV SMT 2'!K19,'KL V SMT 1'!K19,'KL V SMT 2'!K19,'KL VI SMT 1'!K19,'SMT12'!K19)/Sat,"")</f>
        <v>88.4</v>
      </c>
      <c r="H17" s="402">
        <f>IFERROR(AVERAGE('KL IV SMT 1'!N19,'KL IV SMT 2'!N19,'KL V SMT 1'!N19,'KL V SMT 2'!N19,'KL VI SMT 1'!N19,'SMT12'!N19)/Sat,"")</f>
        <v>88.6</v>
      </c>
      <c r="I17" s="402">
        <f>IFERROR(AVERAGE('KL IV SMT 1'!Q19,'KL IV SMT 2'!Q19,'KL V SMT 1'!Q19,'KL V SMT 2'!Q19,'KL VI SMT 1'!Q19,'SMT12'!Q19)/Sat,"")</f>
        <v>83.1</v>
      </c>
      <c r="J17" s="402">
        <f>IFERROR(AVERAGE('KL IV SMT 1'!T19,'KL IV SMT 2'!T19,'KL V SMT 1'!T19,'KL V SMT 2'!T19,'KL VI SMT 1'!T19,'SMT12'!T19)/Sat,"")</f>
        <v>85.5</v>
      </c>
      <c r="K17" s="402">
        <f>IFERROR(AVERAGE('KL IV SMT 1'!W19,'KL IV SMT 2'!W19,'KL V SMT 1'!W19,'KL V SMT 2'!W19,'KL VI SMT 1'!W19,'SMT12'!W19)/Sat,"")</f>
        <v>84.2</v>
      </c>
      <c r="L17" s="402">
        <f>IFERROR(AVERAGE('KL IV SMT 1'!Z19,'KL IV SMT 2'!Z19,'KL V SMT 1'!Z19,'KL V SMT 2'!Z19,'KL VI SMT 1'!Z19,'SMT12'!Z19)/Sat,"")</f>
        <v>84.4</v>
      </c>
      <c r="M17" s="402">
        <f>IFERROR(AVERAGE('KL IV SMT 1'!AC19,'KL IV SMT 2'!AC19,'KL V SMT 1'!AC19,'KL V SMT 2'!AC19,'KL VI SMT 1'!AC19,'SMT12'!AC19)/Sat,"")</f>
        <v>88.2</v>
      </c>
      <c r="N17" s="402">
        <f>IFERROR(AVERAGE('KL IV SMT 1'!AF19,'KL IV SMT 2'!AF19,'KL V SMT 1'!AF19,'KL V SMT 2'!AF19,'KL VI SMT 1'!AF19,'SMT12'!AF19)/Sat,"")</f>
        <v>85.7</v>
      </c>
      <c r="O17" s="402" t="str">
        <f>IFERROR(AVERAGE('KL IV SMT 1'!AI19,'KL IV SMT 2'!AI19,'KL V SMT 1'!AI19,'KL V SMT 2'!AI19,'KL VI SMT 1'!AI19,'SMT12'!AI19)/Sat,"")</f>
        <v/>
      </c>
      <c r="P17" s="402" t="str">
        <f>IFERROR(AVERAGE('KL IV SMT 1'!AL19,'KL IV SMT 2'!AL19,'KL V SMT 1'!AL19,'KL V SMT 2'!AL19,'KL VI SMT 1'!AL19,'SMT12'!AL19)/Sat,"")</f>
        <v/>
      </c>
      <c r="Q17" s="403">
        <f t="shared" si="1"/>
        <v>777.90000000000009</v>
      </c>
      <c r="R17" s="403">
        <f t="shared" si="0"/>
        <v>86.433333333333337</v>
      </c>
      <c r="S17" s="239">
        <f t="shared" si="2"/>
        <v>4</v>
      </c>
      <c r="U17" s="35" t="str">
        <f t="shared" si="3"/>
        <v>Kosong</v>
      </c>
    </row>
    <row r="18" spans="2:21">
      <c r="B18" s="236">
        <v>11</v>
      </c>
      <c r="C18" s="236" t="str">
        <f>'Data Siswa'!C14&amp;""</f>
        <v>2895</v>
      </c>
      <c r="D18" s="237" t="str">
        <f>'Data Siswa'!F14&amp;""</f>
        <v/>
      </c>
      <c r="E18" s="475"/>
      <c r="F18" s="402">
        <f>IFERROR(AVERAGE('KL IV SMT 1'!H20,'KL IV SMT 2'!H20,'KL V SMT 1'!H20,'KL V SMT 2'!H20,'KL VI SMT 1'!H20,'SMT12'!H20)/Sat,"")</f>
        <v>80.599999999999994</v>
      </c>
      <c r="G18" s="402">
        <f>IFERROR(AVERAGE('KL IV SMT 1'!K20,'KL IV SMT 2'!K20,'KL V SMT 1'!K20,'KL V SMT 2'!K20,'KL VI SMT 1'!K20,'SMT12'!K20)/Sat,"")</f>
        <v>80.5</v>
      </c>
      <c r="H18" s="402">
        <f>IFERROR(AVERAGE('KL IV SMT 1'!N20,'KL IV SMT 2'!N20,'KL V SMT 1'!N20,'KL V SMT 2'!N20,'KL VI SMT 1'!N20,'SMT12'!N20)/Sat,"")</f>
        <v>81.3</v>
      </c>
      <c r="I18" s="402">
        <f>IFERROR(AVERAGE('KL IV SMT 1'!Q20,'KL IV SMT 2'!Q20,'KL V SMT 1'!Q20,'KL V SMT 2'!Q20,'KL VI SMT 1'!Q20,'SMT12'!Q20)/Sat,"")</f>
        <v>75.599999999999994</v>
      </c>
      <c r="J18" s="402">
        <f>IFERROR(AVERAGE('KL IV SMT 1'!T20,'KL IV SMT 2'!T20,'KL V SMT 1'!T20,'KL V SMT 2'!T20,'KL VI SMT 1'!T20,'SMT12'!T20)/Sat,"")</f>
        <v>79.5</v>
      </c>
      <c r="K18" s="402">
        <f>IFERROR(AVERAGE('KL IV SMT 1'!W20,'KL IV SMT 2'!W20,'KL V SMT 1'!W20,'KL V SMT 2'!W20,'KL VI SMT 1'!W20,'SMT12'!W20)/Sat,"")</f>
        <v>80.599999999999994</v>
      </c>
      <c r="L18" s="402">
        <f>IFERROR(AVERAGE('KL IV SMT 1'!Z20,'KL IV SMT 2'!Z20,'KL V SMT 1'!Z20,'KL V SMT 2'!Z20,'KL VI SMT 1'!Z20,'SMT12'!Z20)/Sat,"")</f>
        <v>78.400000000000006</v>
      </c>
      <c r="M18" s="402">
        <f>IFERROR(AVERAGE('KL IV SMT 1'!AC20,'KL IV SMT 2'!AC20,'KL V SMT 1'!AC20,'KL V SMT 2'!AC20,'KL VI SMT 1'!AC20,'SMT12'!AC20)/Sat,"")</f>
        <v>81.2</v>
      </c>
      <c r="N18" s="402">
        <f>IFERROR(AVERAGE('KL IV SMT 1'!AF20,'KL IV SMT 2'!AF20,'KL V SMT 1'!AF20,'KL V SMT 2'!AF20,'KL VI SMT 1'!AF20,'SMT12'!AF20)/Sat,"")</f>
        <v>77.900000000000006</v>
      </c>
      <c r="O18" s="402" t="str">
        <f>IFERROR(AVERAGE('KL IV SMT 1'!AI20,'KL IV SMT 2'!AI20,'KL V SMT 1'!AI20,'KL V SMT 2'!AI20,'KL VI SMT 1'!AI20,'SMT12'!AI20)/Sat,"")</f>
        <v/>
      </c>
      <c r="P18" s="402" t="str">
        <f>IFERROR(AVERAGE('KL IV SMT 1'!AL20,'KL IV SMT 2'!AL20,'KL V SMT 1'!AL20,'KL V SMT 2'!AL20,'KL VI SMT 1'!AL20,'SMT12'!AL20)/Sat,"")</f>
        <v/>
      </c>
      <c r="Q18" s="403">
        <f t="shared" si="1"/>
        <v>715.6</v>
      </c>
      <c r="R18" s="403">
        <f t="shared" si="0"/>
        <v>79.51111111111112</v>
      </c>
      <c r="S18" s="239">
        <f t="shared" si="2"/>
        <v>18</v>
      </c>
      <c r="U18" s="35" t="str">
        <f t="shared" si="3"/>
        <v>Kosong</v>
      </c>
    </row>
    <row r="19" spans="2:21">
      <c r="B19" s="236">
        <v>12</v>
      </c>
      <c r="C19" s="236" t="str">
        <f>'Data Siswa'!C15&amp;""</f>
        <v>2896</v>
      </c>
      <c r="D19" s="237" t="str">
        <f>'Data Siswa'!F15&amp;""</f>
        <v/>
      </c>
      <c r="E19" s="475"/>
      <c r="F19" s="402">
        <f>IFERROR(AVERAGE('KL IV SMT 1'!H21,'KL IV SMT 2'!H21,'KL V SMT 1'!H21,'KL V SMT 2'!H21,'KL VI SMT 1'!H21,'SMT12'!H21)/Sat,"")</f>
        <v>92.8</v>
      </c>
      <c r="G19" s="402">
        <f>IFERROR(AVERAGE('KL IV SMT 1'!K21,'KL IV SMT 2'!K21,'KL V SMT 1'!K21,'KL V SMT 2'!K21,'KL VI SMT 1'!K21,'SMT12'!K21)/Sat,"")</f>
        <v>89.3</v>
      </c>
      <c r="H19" s="402">
        <f>IFERROR(AVERAGE('KL IV SMT 1'!N21,'KL IV SMT 2'!N21,'KL V SMT 1'!N21,'KL V SMT 2'!N21,'KL VI SMT 1'!N21,'SMT12'!N21)/Sat,"")</f>
        <v>89.6</v>
      </c>
      <c r="I19" s="402">
        <f>IFERROR(AVERAGE('KL IV SMT 1'!Q21,'KL IV SMT 2'!Q21,'KL V SMT 1'!Q21,'KL V SMT 2'!Q21,'KL VI SMT 1'!Q21,'SMT12'!Q21)/Sat,"")</f>
        <v>85.1</v>
      </c>
      <c r="J19" s="402">
        <f>IFERROR(AVERAGE('KL IV SMT 1'!T21,'KL IV SMT 2'!T21,'KL V SMT 1'!T21,'KL V SMT 2'!T21,'KL VI SMT 1'!T21,'SMT12'!T21)/Sat,"")</f>
        <v>88.4</v>
      </c>
      <c r="K19" s="402">
        <f>IFERROR(AVERAGE('KL IV SMT 1'!W21,'KL IV SMT 2'!W21,'KL V SMT 1'!W21,'KL V SMT 2'!W21,'KL VI SMT 1'!W21,'SMT12'!W21)/Sat,"")</f>
        <v>88.4</v>
      </c>
      <c r="L19" s="402">
        <f>IFERROR(AVERAGE('KL IV SMT 1'!Z21,'KL IV SMT 2'!Z21,'KL V SMT 1'!Z21,'KL V SMT 2'!Z21,'KL VI SMT 1'!Z21,'SMT12'!Z21)/Sat,"")</f>
        <v>89.2</v>
      </c>
      <c r="M19" s="402">
        <f>IFERROR(AVERAGE('KL IV SMT 1'!AC21,'KL IV SMT 2'!AC21,'KL V SMT 1'!AC21,'KL V SMT 2'!AC21,'KL VI SMT 1'!AC21,'SMT12'!AC21)/Sat,"")</f>
        <v>88.1</v>
      </c>
      <c r="N19" s="402">
        <f>IFERROR(AVERAGE('KL IV SMT 1'!AF21,'KL IV SMT 2'!AF21,'KL V SMT 1'!AF21,'KL V SMT 2'!AF21,'KL VI SMT 1'!AF21,'SMT12'!AF21)/Sat,"")</f>
        <v>86.9</v>
      </c>
      <c r="O19" s="402" t="str">
        <f>IFERROR(AVERAGE('KL IV SMT 1'!AI21,'KL IV SMT 2'!AI21,'KL V SMT 1'!AI21,'KL V SMT 2'!AI21,'KL VI SMT 1'!AI21,'SMT12'!AI21)/Sat,"")</f>
        <v/>
      </c>
      <c r="P19" s="402" t="str">
        <f>IFERROR(AVERAGE('KL IV SMT 1'!AL21,'KL IV SMT 2'!AL21,'KL V SMT 1'!AL21,'KL V SMT 2'!AL21,'KL VI SMT 1'!AL21,'SMT12'!AL21)/Sat,"")</f>
        <v/>
      </c>
      <c r="Q19" s="403">
        <f t="shared" si="1"/>
        <v>797.8</v>
      </c>
      <c r="R19" s="403">
        <f t="shared" si="0"/>
        <v>88.644444444444446</v>
      </c>
      <c r="S19" s="239">
        <f t="shared" si="2"/>
        <v>1</v>
      </c>
      <c r="U19" s="35" t="str">
        <f t="shared" si="3"/>
        <v>Kosong</v>
      </c>
    </row>
    <row r="20" spans="2:21">
      <c r="B20" s="236">
        <v>13</v>
      </c>
      <c r="C20" s="236" t="str">
        <f>'Data Siswa'!C16&amp;""</f>
        <v>2897</v>
      </c>
      <c r="D20" s="237" t="str">
        <f>'Data Siswa'!F16&amp;""</f>
        <v/>
      </c>
      <c r="E20" s="475"/>
      <c r="F20" s="402">
        <f>IFERROR(AVERAGE('KL IV SMT 1'!H22,'KL IV SMT 2'!H22,'KL V SMT 1'!H22,'KL V SMT 2'!H22,'KL VI SMT 1'!H22,'SMT12'!H22)/Sat,"")</f>
        <v>83.2</v>
      </c>
      <c r="G20" s="402">
        <f>IFERROR(AVERAGE('KL IV SMT 1'!K22,'KL IV SMT 2'!K22,'KL V SMT 1'!K22,'KL V SMT 2'!K22,'KL VI SMT 1'!K22,'SMT12'!K22)/Sat,"")</f>
        <v>79.8</v>
      </c>
      <c r="H20" s="402">
        <f>IFERROR(AVERAGE('KL IV SMT 1'!N22,'KL IV SMT 2'!N22,'KL V SMT 1'!N22,'KL V SMT 2'!N22,'KL VI SMT 1'!N22,'SMT12'!N22)/Sat,"")</f>
        <v>80.400000000000006</v>
      </c>
      <c r="I20" s="402">
        <f>IFERROR(AVERAGE('KL IV SMT 1'!Q22,'KL IV SMT 2'!Q22,'KL V SMT 1'!Q22,'KL V SMT 2'!Q22,'KL VI SMT 1'!Q22,'SMT12'!Q22)/Sat,"")</f>
        <v>75</v>
      </c>
      <c r="J20" s="402">
        <f>IFERROR(AVERAGE('KL IV SMT 1'!T22,'KL IV SMT 2'!T22,'KL V SMT 1'!T22,'KL V SMT 2'!T22,'KL VI SMT 1'!T22,'SMT12'!T22)/Sat,"")</f>
        <v>78.7</v>
      </c>
      <c r="K20" s="402">
        <f>IFERROR(AVERAGE('KL IV SMT 1'!W22,'KL IV SMT 2'!W22,'KL V SMT 1'!W22,'KL V SMT 2'!W22,'KL VI SMT 1'!W22,'SMT12'!W22)/Sat,"")</f>
        <v>79.7</v>
      </c>
      <c r="L20" s="402">
        <f>IFERROR(AVERAGE('KL IV SMT 1'!Z22,'KL IV SMT 2'!Z22,'KL V SMT 1'!Z22,'KL V SMT 2'!Z22,'KL VI SMT 1'!Z22,'SMT12'!Z22)/Sat,"")</f>
        <v>82.7</v>
      </c>
      <c r="M20" s="402">
        <f>IFERROR(AVERAGE('KL IV SMT 1'!AC22,'KL IV SMT 2'!AC22,'KL V SMT 1'!AC22,'KL V SMT 2'!AC22,'KL VI SMT 1'!AC22,'SMT12'!AC22)/Sat,"")</f>
        <v>81.599999999999994</v>
      </c>
      <c r="N20" s="402">
        <f>IFERROR(AVERAGE('KL IV SMT 1'!AF22,'KL IV SMT 2'!AF22,'KL V SMT 1'!AF22,'KL V SMT 2'!AF22,'KL VI SMT 1'!AF22,'SMT12'!AF22)/Sat,"")</f>
        <v>77.400000000000006</v>
      </c>
      <c r="O20" s="402" t="str">
        <f>IFERROR(AVERAGE('KL IV SMT 1'!AI22,'KL IV SMT 2'!AI22,'KL V SMT 1'!AI22,'KL V SMT 2'!AI22,'KL VI SMT 1'!AI22,'SMT12'!AI22)/Sat,"")</f>
        <v/>
      </c>
      <c r="P20" s="402" t="str">
        <f>IFERROR(AVERAGE('KL IV SMT 1'!AL22,'KL IV SMT 2'!AL22,'KL V SMT 1'!AL22,'KL V SMT 2'!AL22,'KL VI SMT 1'!AL22,'SMT12'!AL22)/Sat,"")</f>
        <v/>
      </c>
      <c r="Q20" s="403">
        <f t="shared" si="1"/>
        <v>718.5</v>
      </c>
      <c r="R20" s="403">
        <f t="shared" si="0"/>
        <v>79.833333333333329</v>
      </c>
      <c r="S20" s="239">
        <f t="shared" si="2"/>
        <v>16</v>
      </c>
      <c r="U20" s="35" t="str">
        <f t="shared" si="3"/>
        <v>Kosong</v>
      </c>
    </row>
    <row r="21" spans="2:21">
      <c r="B21" s="236">
        <v>14</v>
      </c>
      <c r="C21" s="236" t="str">
        <f>'Data Siswa'!C17&amp;""</f>
        <v>2898</v>
      </c>
      <c r="D21" s="237" t="str">
        <f>'Data Siswa'!F17&amp;""</f>
        <v/>
      </c>
      <c r="E21" s="475"/>
      <c r="F21" s="402">
        <f>IFERROR(AVERAGE('KL IV SMT 1'!H23,'KL IV SMT 2'!H23,'KL V SMT 1'!H23,'KL V SMT 2'!H23,'KL VI SMT 1'!H23,'SMT12'!H23)/Sat,"")</f>
        <v>85.5</v>
      </c>
      <c r="G21" s="402">
        <f>IFERROR(AVERAGE('KL IV SMT 1'!K23,'KL IV SMT 2'!K23,'KL V SMT 1'!K23,'KL V SMT 2'!K23,'KL VI SMT 1'!K23,'SMT12'!K23)/Sat,"")</f>
        <v>81.3</v>
      </c>
      <c r="H21" s="402">
        <f>IFERROR(AVERAGE('KL IV SMT 1'!N23,'KL IV SMT 2'!N23,'KL V SMT 1'!N23,'KL V SMT 2'!N23,'KL VI SMT 1'!N23,'SMT12'!N23)/Sat,"")</f>
        <v>82.2</v>
      </c>
      <c r="I21" s="402">
        <f>IFERROR(AVERAGE('KL IV SMT 1'!Q23,'KL IV SMT 2'!Q23,'KL V SMT 1'!Q23,'KL V SMT 2'!Q23,'KL VI SMT 1'!Q23,'SMT12'!Q23)/Sat,"")</f>
        <v>76</v>
      </c>
      <c r="J21" s="402">
        <f>IFERROR(AVERAGE('KL IV SMT 1'!T23,'KL IV SMT 2'!T23,'KL V SMT 1'!T23,'KL V SMT 2'!T23,'KL VI SMT 1'!T23,'SMT12'!T23)/Sat,"")</f>
        <v>80.3</v>
      </c>
      <c r="K21" s="402">
        <f>IFERROR(AVERAGE('KL IV SMT 1'!W23,'KL IV SMT 2'!W23,'KL V SMT 1'!W23,'KL V SMT 2'!W23,'KL VI SMT 1'!W23,'SMT12'!W23)/Sat,"")</f>
        <v>82.4</v>
      </c>
      <c r="L21" s="402">
        <f>IFERROR(AVERAGE('KL IV SMT 1'!Z23,'KL IV SMT 2'!Z23,'KL V SMT 1'!Z23,'KL V SMT 2'!Z23,'KL VI SMT 1'!Z23,'SMT12'!Z23)/Sat,"")</f>
        <v>82.5</v>
      </c>
      <c r="M21" s="402">
        <f>IFERROR(AVERAGE('KL IV SMT 1'!AC23,'KL IV SMT 2'!AC23,'KL V SMT 1'!AC23,'KL V SMT 2'!AC23,'KL VI SMT 1'!AC23,'SMT12'!AC23)/Sat,"")</f>
        <v>82.6</v>
      </c>
      <c r="N21" s="402">
        <f>IFERROR(AVERAGE('KL IV SMT 1'!AF23,'KL IV SMT 2'!AF23,'KL V SMT 1'!AF23,'KL V SMT 2'!AF23,'KL VI SMT 1'!AF23,'SMT12'!AF23)/Sat,"")</f>
        <v>80.099999999999994</v>
      </c>
      <c r="O21" s="402" t="str">
        <f>IFERROR(AVERAGE('KL IV SMT 1'!AI23,'KL IV SMT 2'!AI23,'KL V SMT 1'!AI23,'KL V SMT 2'!AI23,'KL VI SMT 1'!AI23,'SMT12'!AI23)/Sat,"")</f>
        <v/>
      </c>
      <c r="P21" s="402" t="str">
        <f>IFERROR(AVERAGE('KL IV SMT 1'!AL23,'KL IV SMT 2'!AL23,'KL V SMT 1'!AL23,'KL V SMT 2'!AL23,'KL VI SMT 1'!AL23,'SMT12'!AL23)/Sat,"")</f>
        <v/>
      </c>
      <c r="Q21" s="403">
        <f t="shared" si="1"/>
        <v>732.90000000000009</v>
      </c>
      <c r="R21" s="403">
        <f t="shared" si="0"/>
        <v>81.433333333333337</v>
      </c>
      <c r="S21" s="239">
        <f t="shared" si="2"/>
        <v>12</v>
      </c>
      <c r="U21" s="35" t="str">
        <f t="shared" si="3"/>
        <v>Kosong</v>
      </c>
    </row>
    <row r="22" spans="2:21">
      <c r="B22" s="236">
        <v>15</v>
      </c>
      <c r="C22" s="236" t="str">
        <f>'Data Siswa'!C18&amp;""</f>
        <v>2900</v>
      </c>
      <c r="D22" s="237" t="str">
        <f>'Data Siswa'!F18&amp;""</f>
        <v/>
      </c>
      <c r="E22" s="475"/>
      <c r="F22" s="402">
        <f>IFERROR(AVERAGE('KL IV SMT 1'!H24,'KL IV SMT 2'!H24,'KL V SMT 1'!H24,'KL V SMT 2'!H24,'KL VI SMT 1'!H24,'SMT12'!H24)/Sat,"")</f>
        <v>82.7</v>
      </c>
      <c r="G22" s="402">
        <f>IFERROR(AVERAGE('KL IV SMT 1'!K24,'KL IV SMT 2'!K24,'KL V SMT 1'!K24,'KL V SMT 2'!K24,'KL VI SMT 1'!K24,'SMT12'!K24)/Sat,"")</f>
        <v>81.900000000000006</v>
      </c>
      <c r="H22" s="402">
        <f>IFERROR(AVERAGE('KL IV SMT 1'!N24,'KL IV SMT 2'!N24,'KL V SMT 1'!N24,'KL V SMT 2'!N24,'KL VI SMT 1'!N24,'SMT12'!N24)/Sat,"")</f>
        <v>83.2</v>
      </c>
      <c r="I22" s="402">
        <f>IFERROR(AVERAGE('KL IV SMT 1'!Q24,'KL IV SMT 2'!Q24,'KL V SMT 1'!Q24,'KL V SMT 2'!Q24,'KL VI SMT 1'!Q24,'SMT12'!Q24)/Sat,"")</f>
        <v>78.900000000000006</v>
      </c>
      <c r="J22" s="402">
        <f>IFERROR(AVERAGE('KL IV SMT 1'!T24,'KL IV SMT 2'!T24,'KL V SMT 1'!T24,'KL V SMT 2'!T24,'KL VI SMT 1'!T24,'SMT12'!T24)/Sat,"")</f>
        <v>82.3</v>
      </c>
      <c r="K22" s="402">
        <f>IFERROR(AVERAGE('KL IV SMT 1'!W24,'KL IV SMT 2'!W24,'KL V SMT 1'!W24,'KL V SMT 2'!W24,'KL VI SMT 1'!W24,'SMT12'!W24)/Sat,"")</f>
        <v>82.4</v>
      </c>
      <c r="L22" s="402">
        <f>IFERROR(AVERAGE('KL IV SMT 1'!Z24,'KL IV SMT 2'!Z24,'KL V SMT 1'!Z24,'KL V SMT 2'!Z24,'KL VI SMT 1'!Z24,'SMT12'!Z24)/Sat,"")</f>
        <v>83.7</v>
      </c>
      <c r="M22" s="402">
        <f>IFERROR(AVERAGE('KL IV SMT 1'!AC24,'KL IV SMT 2'!AC24,'KL V SMT 1'!AC24,'KL V SMT 2'!AC24,'KL VI SMT 1'!AC24,'SMT12'!AC24)/Sat,"")</f>
        <v>82.3</v>
      </c>
      <c r="N22" s="402">
        <f>IFERROR(AVERAGE('KL IV SMT 1'!AF24,'KL IV SMT 2'!AF24,'KL V SMT 1'!AF24,'KL V SMT 2'!AF24,'KL VI SMT 1'!AF24,'SMT12'!AF24)/Sat,"")</f>
        <v>79.5</v>
      </c>
      <c r="O22" s="402" t="str">
        <f>IFERROR(AVERAGE('KL IV SMT 1'!AI24,'KL IV SMT 2'!AI24,'KL V SMT 1'!AI24,'KL V SMT 2'!AI24,'KL VI SMT 1'!AI24,'SMT12'!AI24)/Sat,"")</f>
        <v/>
      </c>
      <c r="P22" s="402" t="str">
        <f>IFERROR(AVERAGE('KL IV SMT 1'!AL24,'KL IV SMT 2'!AL24,'KL V SMT 1'!AL24,'KL V SMT 2'!AL24,'KL VI SMT 1'!AL24,'SMT12'!AL24)/Sat,"")</f>
        <v/>
      </c>
      <c r="Q22" s="403">
        <f t="shared" si="1"/>
        <v>736.90000000000009</v>
      </c>
      <c r="R22" s="403">
        <f t="shared" si="0"/>
        <v>81.877777777777794</v>
      </c>
      <c r="S22" s="239">
        <f t="shared" si="2"/>
        <v>11</v>
      </c>
      <c r="U22" s="35" t="str">
        <f t="shared" si="3"/>
        <v>Kosong</v>
      </c>
    </row>
    <row r="23" spans="2:21">
      <c r="B23" s="236">
        <v>16</v>
      </c>
      <c r="C23" s="236" t="str">
        <f>'Data Siswa'!C19&amp;""</f>
        <v>2899</v>
      </c>
      <c r="D23" s="237" t="str">
        <f>'Data Siswa'!F19&amp;""</f>
        <v/>
      </c>
      <c r="E23" s="475"/>
      <c r="F23" s="402">
        <f>IFERROR(AVERAGE('KL IV SMT 1'!H25,'KL IV SMT 2'!H25,'KL V SMT 1'!H25,'KL V SMT 2'!H25,'KL VI SMT 1'!H25,'SMT12'!H25)/Sat,"")</f>
        <v>86.6</v>
      </c>
      <c r="G23" s="402">
        <f>IFERROR(AVERAGE('KL IV SMT 1'!K25,'KL IV SMT 2'!K25,'KL V SMT 1'!K25,'KL V SMT 2'!K25,'KL VI SMT 1'!K25,'SMT12'!K25)/Sat,"")</f>
        <v>82.7</v>
      </c>
      <c r="H23" s="402">
        <f>IFERROR(AVERAGE('KL IV SMT 1'!N25,'KL IV SMT 2'!N25,'KL V SMT 1'!N25,'KL V SMT 2'!N25,'KL VI SMT 1'!N25,'SMT12'!N25)/Sat,"")</f>
        <v>83.4</v>
      </c>
      <c r="I23" s="402">
        <f>IFERROR(AVERAGE('KL IV SMT 1'!Q25,'KL IV SMT 2'!Q25,'KL V SMT 1'!Q25,'KL V SMT 2'!Q25,'KL VI SMT 1'!Q25,'SMT12'!Q25)/Sat,"")</f>
        <v>79.400000000000006</v>
      </c>
      <c r="J23" s="402">
        <f>IFERROR(AVERAGE('KL IV SMT 1'!T25,'KL IV SMT 2'!T25,'KL V SMT 1'!T25,'KL V SMT 2'!T25,'KL VI SMT 1'!T25,'SMT12'!T25)/Sat,"")</f>
        <v>83.1</v>
      </c>
      <c r="K23" s="402">
        <f>IFERROR(AVERAGE('KL IV SMT 1'!W25,'KL IV SMT 2'!W25,'KL V SMT 1'!W25,'KL V SMT 2'!W25,'KL VI SMT 1'!W25,'SMT12'!W25)/Sat,"")</f>
        <v>84.5</v>
      </c>
      <c r="L23" s="402">
        <f>IFERROR(AVERAGE('KL IV SMT 1'!Z25,'KL IV SMT 2'!Z25,'KL V SMT 1'!Z25,'KL V SMT 2'!Z25,'KL VI SMT 1'!Z25,'SMT12'!Z25)/Sat,"")</f>
        <v>83.7</v>
      </c>
      <c r="M23" s="402">
        <f>IFERROR(AVERAGE('KL IV SMT 1'!AC25,'KL IV SMT 2'!AC25,'KL V SMT 1'!AC25,'KL V SMT 2'!AC25,'KL VI SMT 1'!AC25,'SMT12'!AC25)/Sat,"")</f>
        <v>82.6</v>
      </c>
      <c r="N23" s="402">
        <f>IFERROR(AVERAGE('KL IV SMT 1'!AF25,'KL IV SMT 2'!AF25,'KL V SMT 1'!AF25,'KL V SMT 2'!AF25,'KL VI SMT 1'!AF25,'SMT12'!AF25)/Sat,"")</f>
        <v>81.599999999999994</v>
      </c>
      <c r="O23" s="402" t="str">
        <f>IFERROR(AVERAGE('KL IV SMT 1'!AI25,'KL IV SMT 2'!AI25,'KL V SMT 1'!AI25,'KL V SMT 2'!AI25,'KL VI SMT 1'!AI25,'SMT12'!AI25)/Sat,"")</f>
        <v/>
      </c>
      <c r="P23" s="402" t="str">
        <f>IFERROR(AVERAGE('KL IV SMT 1'!AL25,'KL IV SMT 2'!AL25,'KL V SMT 1'!AL25,'KL V SMT 2'!AL25,'KL VI SMT 1'!AL25,'SMT12'!AL25)/Sat,"")</f>
        <v/>
      </c>
      <c r="Q23" s="403">
        <f t="shared" si="1"/>
        <v>747.60000000000014</v>
      </c>
      <c r="R23" s="403">
        <f t="shared" si="0"/>
        <v>83.066666666666677</v>
      </c>
      <c r="S23" s="239">
        <f t="shared" si="2"/>
        <v>9</v>
      </c>
      <c r="U23" s="35" t="str">
        <f t="shared" si="3"/>
        <v>Kosong</v>
      </c>
    </row>
    <row r="24" spans="2:21">
      <c r="B24" s="236">
        <v>17</v>
      </c>
      <c r="C24" s="236" t="str">
        <f>'Data Siswa'!C20&amp;""</f>
        <v>2901</v>
      </c>
      <c r="D24" s="237" t="str">
        <f>'Data Siswa'!F20&amp;""</f>
        <v/>
      </c>
      <c r="E24" s="475"/>
      <c r="F24" s="402">
        <f>IFERROR(AVERAGE('KL IV SMT 1'!H26,'KL IV SMT 2'!H26,'KL V SMT 1'!H26,'KL V SMT 2'!H26,'KL VI SMT 1'!H26,'SMT12'!H26)/Sat,"")</f>
        <v>88.5</v>
      </c>
      <c r="G24" s="402">
        <f>IFERROR(AVERAGE('KL IV SMT 1'!K26,'KL IV SMT 2'!K26,'KL V SMT 1'!K26,'KL V SMT 2'!K26,'KL VI SMT 1'!K26,'SMT12'!K26)/Sat,"")</f>
        <v>83.7</v>
      </c>
      <c r="H24" s="402">
        <f>IFERROR(AVERAGE('KL IV SMT 1'!N26,'KL IV SMT 2'!N26,'KL V SMT 1'!N26,'KL V SMT 2'!N26,'KL VI SMT 1'!N26,'SMT12'!N26)/Sat,"")</f>
        <v>85.5</v>
      </c>
      <c r="I24" s="402">
        <f>IFERROR(AVERAGE('KL IV SMT 1'!Q26,'KL IV SMT 2'!Q26,'KL V SMT 1'!Q26,'KL V SMT 2'!Q26,'KL VI SMT 1'!Q26,'SMT12'!Q26)/Sat,"")</f>
        <v>82.8</v>
      </c>
      <c r="J24" s="402">
        <f>IFERROR(AVERAGE('KL IV SMT 1'!T26,'KL IV SMT 2'!T26,'KL V SMT 1'!T26,'KL V SMT 2'!T26,'KL VI SMT 1'!T26,'SMT12'!T26)/Sat,"")</f>
        <v>83.4</v>
      </c>
      <c r="K24" s="402">
        <f>IFERROR(AVERAGE('KL IV SMT 1'!W26,'KL IV SMT 2'!W26,'KL V SMT 1'!W26,'KL V SMT 2'!W26,'KL VI SMT 1'!W26,'SMT12'!W26)/Sat,"")</f>
        <v>82.4</v>
      </c>
      <c r="L24" s="402">
        <f>IFERROR(AVERAGE('KL IV SMT 1'!Z26,'KL IV SMT 2'!Z26,'KL V SMT 1'!Z26,'KL V SMT 2'!Z26,'KL VI SMT 1'!Z26,'SMT12'!Z26)/Sat,"")</f>
        <v>83.7</v>
      </c>
      <c r="M24" s="402">
        <f>IFERROR(AVERAGE('KL IV SMT 1'!AC26,'KL IV SMT 2'!AC26,'KL V SMT 1'!AC26,'KL V SMT 2'!AC26,'KL VI SMT 1'!AC26,'SMT12'!AC26)/Sat,"")</f>
        <v>81.5</v>
      </c>
      <c r="N24" s="402">
        <f>IFERROR(AVERAGE('KL IV SMT 1'!AF26,'KL IV SMT 2'!AF26,'KL V SMT 1'!AF26,'KL V SMT 2'!AF26,'KL VI SMT 1'!AF26,'SMT12'!AF26)/Sat,"")</f>
        <v>84.9</v>
      </c>
      <c r="O24" s="402" t="str">
        <f>IFERROR(AVERAGE('KL IV SMT 1'!AI26,'KL IV SMT 2'!AI26,'KL V SMT 1'!AI26,'KL V SMT 2'!AI26,'KL VI SMT 1'!AI26,'SMT12'!AI26)/Sat,"")</f>
        <v/>
      </c>
      <c r="P24" s="402" t="str">
        <f>IFERROR(AVERAGE('KL IV SMT 1'!AL26,'KL IV SMT 2'!AL26,'KL V SMT 1'!AL26,'KL V SMT 2'!AL26,'KL VI SMT 1'!AL26,'SMT12'!AL26)/Sat,"")</f>
        <v/>
      </c>
      <c r="Q24" s="403">
        <f t="shared" si="1"/>
        <v>756.4</v>
      </c>
      <c r="R24" s="403">
        <f t="shared" si="0"/>
        <v>84.044444444444437</v>
      </c>
      <c r="S24" s="239">
        <f t="shared" si="2"/>
        <v>6</v>
      </c>
      <c r="U24" s="35" t="str">
        <f t="shared" si="3"/>
        <v>Kosong</v>
      </c>
    </row>
    <row r="25" spans="2:21">
      <c r="B25" s="236">
        <v>18</v>
      </c>
      <c r="C25" s="236" t="str">
        <f>'Data Siswa'!C21&amp;""</f>
        <v>2902</v>
      </c>
      <c r="D25" s="237" t="str">
        <f>'Data Siswa'!F21&amp;""</f>
        <v/>
      </c>
      <c r="E25" s="475"/>
      <c r="F25" s="402">
        <f>IFERROR(AVERAGE('KL IV SMT 1'!H27,'KL IV SMT 2'!H27,'KL V SMT 1'!H27,'KL V SMT 2'!H27,'KL VI SMT 1'!H27,'SMT12'!H27)/Sat,"")</f>
        <v>93.4</v>
      </c>
      <c r="G25" s="402">
        <f>IFERROR(AVERAGE('KL IV SMT 1'!K27,'KL IV SMT 2'!K27,'KL V SMT 1'!K27,'KL V SMT 2'!K27,'KL VI SMT 1'!K27,'SMT12'!K27)/Sat,"")</f>
        <v>87.8</v>
      </c>
      <c r="H25" s="402">
        <f>IFERROR(AVERAGE('KL IV SMT 1'!N27,'KL IV SMT 2'!N27,'KL V SMT 1'!N27,'KL V SMT 2'!N27,'KL VI SMT 1'!N27,'SMT12'!N27)/Sat,"")</f>
        <v>87.3</v>
      </c>
      <c r="I25" s="402">
        <f>IFERROR(AVERAGE('KL IV SMT 1'!Q27,'KL IV SMT 2'!Q27,'KL V SMT 1'!Q27,'KL V SMT 2'!Q27,'KL VI SMT 1'!Q27,'SMT12'!Q27)/Sat,"")</f>
        <v>85.8</v>
      </c>
      <c r="J25" s="402">
        <f>IFERROR(AVERAGE('KL IV SMT 1'!T27,'KL IV SMT 2'!T27,'KL V SMT 1'!T27,'KL V SMT 2'!T27,'KL VI SMT 1'!T27,'SMT12'!T27)/Sat,"")</f>
        <v>85.2</v>
      </c>
      <c r="K25" s="402">
        <f>IFERROR(AVERAGE('KL IV SMT 1'!W27,'KL IV SMT 2'!W27,'KL V SMT 1'!W27,'KL V SMT 2'!W27,'KL VI SMT 1'!W27,'SMT12'!W27)/Sat,"")</f>
        <v>86</v>
      </c>
      <c r="L25" s="402">
        <f>IFERROR(AVERAGE('KL IV SMT 1'!Z27,'KL IV SMT 2'!Z27,'KL V SMT 1'!Z27,'KL V SMT 2'!Z27,'KL VI SMT 1'!Z27,'SMT12'!Z27)/Sat,"")</f>
        <v>85.6</v>
      </c>
      <c r="M25" s="402">
        <f>IFERROR(AVERAGE('KL IV SMT 1'!AC27,'KL IV SMT 2'!AC27,'KL V SMT 1'!AC27,'KL V SMT 2'!AC27,'KL VI SMT 1'!AC27,'SMT12'!AC27)/Sat,"")</f>
        <v>86.9</v>
      </c>
      <c r="N25" s="402">
        <f>IFERROR(AVERAGE('KL IV SMT 1'!AF27,'KL IV SMT 2'!AF27,'KL V SMT 1'!AF27,'KL V SMT 2'!AF27,'KL VI SMT 1'!AF27,'SMT12'!AF27)/Sat,"")</f>
        <v>86.3</v>
      </c>
      <c r="O25" s="402" t="str">
        <f>IFERROR(AVERAGE('KL IV SMT 1'!AI27,'KL IV SMT 2'!AI27,'KL V SMT 1'!AI27,'KL V SMT 2'!AI27,'KL VI SMT 1'!AI27,'SMT12'!AI27)/Sat,"")</f>
        <v/>
      </c>
      <c r="P25" s="402" t="str">
        <f>IFERROR(AVERAGE('KL IV SMT 1'!AL27,'KL IV SMT 2'!AL27,'KL V SMT 1'!AL27,'KL V SMT 2'!AL27,'KL VI SMT 1'!AL27,'SMT12'!AL27)/Sat,"")</f>
        <v/>
      </c>
      <c r="Q25" s="403">
        <f t="shared" si="1"/>
        <v>784.3</v>
      </c>
      <c r="R25" s="403">
        <f t="shared" si="0"/>
        <v>87.144444444444446</v>
      </c>
      <c r="S25" s="239">
        <f t="shared" si="2"/>
        <v>3</v>
      </c>
      <c r="U25" s="35" t="str">
        <f t="shared" si="3"/>
        <v>Kosong</v>
      </c>
    </row>
    <row r="26" spans="2:21">
      <c r="B26" s="236">
        <v>19</v>
      </c>
      <c r="C26" s="236" t="str">
        <f>'Data Siswa'!C22&amp;""</f>
        <v>2904</v>
      </c>
      <c r="D26" s="237" t="str">
        <f>'Data Siswa'!F22&amp;""</f>
        <v/>
      </c>
      <c r="E26" s="475"/>
      <c r="F26" s="402">
        <f>IFERROR(AVERAGE('KL IV SMT 1'!H28,'KL IV SMT 2'!H28,'KL V SMT 1'!H28,'KL V SMT 2'!H28,'KL VI SMT 1'!H28,'SMT12'!H28)/Sat,"")</f>
        <v>87.6</v>
      </c>
      <c r="G26" s="402">
        <f>IFERROR(AVERAGE('KL IV SMT 1'!K28,'KL IV SMT 2'!K28,'KL V SMT 1'!K28,'KL V SMT 2'!K28,'KL VI SMT 1'!K28,'SMT12'!K28)/Sat,"")</f>
        <v>84.3</v>
      </c>
      <c r="H26" s="402">
        <f>IFERROR(AVERAGE('KL IV SMT 1'!N28,'KL IV SMT 2'!N28,'KL V SMT 1'!N28,'KL V SMT 2'!N28,'KL VI SMT 1'!N28,'SMT12'!N28)/Sat,"")</f>
        <v>83.3</v>
      </c>
      <c r="I26" s="402">
        <f>IFERROR(AVERAGE('KL IV SMT 1'!Q28,'KL IV SMT 2'!Q28,'KL V SMT 1'!Q28,'KL V SMT 2'!Q28,'KL VI SMT 1'!Q28,'SMT12'!Q28)/Sat,"")</f>
        <v>82.7</v>
      </c>
      <c r="J26" s="402">
        <f>IFERROR(AVERAGE('KL IV SMT 1'!T28,'KL IV SMT 2'!T28,'KL V SMT 1'!T28,'KL V SMT 2'!T28,'KL VI SMT 1'!T28,'SMT12'!T28)/Sat,"")</f>
        <v>82.8</v>
      </c>
      <c r="K26" s="402">
        <f>IFERROR(AVERAGE('KL IV SMT 1'!W28,'KL IV SMT 2'!W28,'KL V SMT 1'!W28,'KL V SMT 2'!W28,'KL VI SMT 1'!W28,'SMT12'!W28)/Sat,"")</f>
        <v>83.7</v>
      </c>
      <c r="L26" s="402">
        <f>IFERROR(AVERAGE('KL IV SMT 1'!Z28,'KL IV SMT 2'!Z28,'KL V SMT 1'!Z28,'KL V SMT 2'!Z28,'KL VI SMT 1'!Z28,'SMT12'!Z28)/Sat,"")</f>
        <v>80.099999999999994</v>
      </c>
      <c r="M26" s="402">
        <f>IFERROR(AVERAGE('KL IV SMT 1'!AC28,'KL IV SMT 2'!AC28,'KL V SMT 1'!AC28,'KL V SMT 2'!AC28,'KL VI SMT 1'!AC28,'SMT12'!AC28)/Sat,"")</f>
        <v>84</v>
      </c>
      <c r="N26" s="402">
        <f>IFERROR(AVERAGE('KL IV SMT 1'!AF28,'KL IV SMT 2'!AF28,'KL V SMT 1'!AF28,'KL V SMT 2'!AF28,'KL VI SMT 1'!AF28,'SMT12'!AF28)/Sat,"")</f>
        <v>77.400000000000006</v>
      </c>
      <c r="O26" s="402" t="str">
        <f>IFERROR(AVERAGE('KL IV SMT 1'!AI28,'KL IV SMT 2'!AI28,'KL V SMT 1'!AI28,'KL V SMT 2'!AI28,'KL VI SMT 1'!AI28,'SMT12'!AI28)/Sat,"")</f>
        <v/>
      </c>
      <c r="P26" s="402" t="str">
        <f>IFERROR(AVERAGE('KL IV SMT 1'!AL28,'KL IV SMT 2'!AL28,'KL V SMT 1'!AL28,'KL V SMT 2'!AL28,'KL VI SMT 1'!AL28,'SMT12'!AL28)/Sat,"")</f>
        <v/>
      </c>
      <c r="Q26" s="403">
        <f t="shared" si="1"/>
        <v>745.9</v>
      </c>
      <c r="R26" s="403">
        <f t="shared" si="0"/>
        <v>82.87777777777778</v>
      </c>
      <c r="S26" s="239">
        <f t="shared" si="2"/>
        <v>10</v>
      </c>
      <c r="U26" s="35" t="str">
        <f t="shared" si="3"/>
        <v>Kosong</v>
      </c>
    </row>
    <row r="27" spans="2:21">
      <c r="B27" s="236">
        <v>20</v>
      </c>
      <c r="C27" s="236" t="str">
        <f>'Data Siswa'!C23&amp;""</f>
        <v>1111</v>
      </c>
      <c r="D27" s="237" t="str">
        <f>'Data Siswa'!F23&amp;""</f>
        <v/>
      </c>
      <c r="E27" s="475"/>
      <c r="F27" s="402">
        <f>IFERROR(AVERAGE('KL IV SMT 1'!H29,'KL IV SMT 2'!H29,'KL V SMT 1'!H29,'KL V SMT 2'!H29,'KL VI SMT 1'!H29,'SMT12'!H29)/Sat,"")</f>
        <v>85.7</v>
      </c>
      <c r="G27" s="402">
        <f>IFERROR(AVERAGE('KL IV SMT 1'!K29,'KL IV SMT 2'!K29,'KL V SMT 1'!K29,'KL V SMT 2'!K29,'KL VI SMT 1'!K29,'SMT12'!K29)/Sat,"")</f>
        <v>84.5</v>
      </c>
      <c r="H27" s="402">
        <f>IFERROR(AVERAGE('KL IV SMT 1'!N29,'KL IV SMT 2'!N29,'KL V SMT 1'!N29,'KL V SMT 2'!N29,'KL VI SMT 1'!N29,'SMT12'!N29)/Sat,"")</f>
        <v>86</v>
      </c>
      <c r="I27" s="402">
        <f>IFERROR(AVERAGE('KL IV SMT 1'!Q29,'KL IV SMT 2'!Q29,'KL V SMT 1'!Q29,'KL V SMT 2'!Q29,'KL VI SMT 1'!Q29,'SMT12'!Q29)/Sat,"")</f>
        <v>80.5</v>
      </c>
      <c r="J27" s="402">
        <f>IFERROR(AVERAGE('KL IV SMT 1'!T29,'KL IV SMT 2'!T29,'KL V SMT 1'!T29,'KL V SMT 2'!T29,'KL VI SMT 1'!T29,'SMT12'!T29)/Sat,"")</f>
        <v>82.4</v>
      </c>
      <c r="K27" s="402">
        <f>IFERROR(AVERAGE('KL IV SMT 1'!W29,'KL IV SMT 2'!W29,'KL V SMT 1'!W29,'KL V SMT 2'!W29,'KL VI SMT 1'!W29,'SMT12'!W29)/Sat,"")</f>
        <v>83.4</v>
      </c>
      <c r="L27" s="402">
        <f>IFERROR(AVERAGE('KL IV SMT 1'!Z29,'KL IV SMT 2'!Z29,'KL V SMT 1'!Z29,'KL V SMT 2'!Z29,'KL VI SMT 1'!Z29,'SMT12'!Z29)/Sat,"")</f>
        <v>83.4</v>
      </c>
      <c r="M27" s="402">
        <f>IFERROR(AVERAGE('KL IV SMT 1'!AC29,'KL IV SMT 2'!AC29,'KL V SMT 1'!AC29,'KL V SMT 2'!AC29,'KL VI SMT 1'!AC29,'SMT12'!AC29)/Sat,"")</f>
        <v>85</v>
      </c>
      <c r="N27" s="402">
        <f>IFERROR(AVERAGE('KL IV SMT 1'!AF29,'KL IV SMT 2'!AF29,'KL V SMT 1'!AF29,'KL V SMT 2'!AF29,'KL VI SMT 1'!AF29,'SMT12'!AF29)/Sat,"")</f>
        <v>83.1</v>
      </c>
      <c r="O27" s="402" t="str">
        <f>IFERROR(AVERAGE('KL IV SMT 1'!AI29,'KL IV SMT 2'!AI29,'KL V SMT 1'!AI29,'KL V SMT 2'!AI29,'KL VI SMT 1'!AI29,'SMT12'!AI29)/Sat,"")</f>
        <v/>
      </c>
      <c r="P27" s="402" t="str">
        <f>IFERROR(AVERAGE('KL IV SMT 1'!AL29,'KL IV SMT 2'!AL29,'KL V SMT 1'!AL29,'KL V SMT 2'!AL29,'KL VI SMT 1'!AL29,'SMT12'!AL29)/Sat,"")</f>
        <v/>
      </c>
      <c r="Q27" s="403">
        <f t="shared" si="1"/>
        <v>754</v>
      </c>
      <c r="R27" s="403">
        <f t="shared" si="0"/>
        <v>83.777777777777771</v>
      </c>
      <c r="S27" s="239">
        <f t="shared" si="2"/>
        <v>8</v>
      </c>
      <c r="U27" s="35" t="str">
        <f t="shared" si="3"/>
        <v>Kosong</v>
      </c>
    </row>
    <row r="28" spans="2:21">
      <c r="B28" s="236">
        <v>21</v>
      </c>
      <c r="C28" s="236" t="str">
        <f>'Data Siswa'!C24&amp;""</f>
        <v>2906</v>
      </c>
      <c r="D28" s="237" t="str">
        <f>'Data Siswa'!F24&amp;""</f>
        <v/>
      </c>
      <c r="E28" s="475"/>
      <c r="F28" s="402">
        <f>IFERROR(AVERAGE('KL IV SMT 1'!H30,'KL IV SMT 2'!H30,'KL V SMT 1'!H30,'KL V SMT 2'!H30,'KL VI SMT 1'!H30,'SMT12'!H30)/Sat,"")</f>
        <v>81.2</v>
      </c>
      <c r="G28" s="402">
        <f>IFERROR(AVERAGE('KL IV SMT 1'!K30,'KL IV SMT 2'!K30,'KL V SMT 1'!K30,'KL V SMT 2'!K30,'KL VI SMT 1'!K30,'SMT12'!K30)/Sat,"")</f>
        <v>77.5</v>
      </c>
      <c r="H28" s="402">
        <f>IFERROR(AVERAGE('KL IV SMT 1'!N30,'KL IV SMT 2'!N30,'KL V SMT 1'!N30,'KL V SMT 2'!N30,'KL VI SMT 1'!N30,'SMT12'!N30)/Sat,"")</f>
        <v>78.7</v>
      </c>
      <c r="I28" s="402">
        <f>IFERROR(AVERAGE('KL IV SMT 1'!Q30,'KL IV SMT 2'!Q30,'KL V SMT 1'!Q30,'KL V SMT 2'!Q30,'KL VI SMT 1'!Q30,'SMT12'!Q30)/Sat,"")</f>
        <v>69.2</v>
      </c>
      <c r="J28" s="402">
        <f>IFERROR(AVERAGE('KL IV SMT 1'!T30,'KL IV SMT 2'!T30,'KL V SMT 1'!T30,'KL V SMT 2'!T30,'KL VI SMT 1'!T30,'SMT12'!T30)/Sat,"")</f>
        <v>76.400000000000006</v>
      </c>
      <c r="K28" s="402">
        <f>IFERROR(AVERAGE('KL IV SMT 1'!W30,'KL IV SMT 2'!W30,'KL V SMT 1'!W30,'KL V SMT 2'!W30,'KL VI SMT 1'!W30,'SMT12'!W30)/Sat,"")</f>
        <v>77.7</v>
      </c>
      <c r="L28" s="402">
        <f>IFERROR(AVERAGE('KL IV SMT 1'!Z30,'KL IV SMT 2'!Z30,'KL V SMT 1'!Z30,'KL V SMT 2'!Z30,'KL VI SMT 1'!Z30,'SMT12'!Z30)/Sat,"")</f>
        <v>76.400000000000006</v>
      </c>
      <c r="M28" s="402">
        <f>IFERROR(AVERAGE('KL IV SMT 1'!AC30,'KL IV SMT 2'!AC30,'KL V SMT 1'!AC30,'KL V SMT 2'!AC30,'KL VI SMT 1'!AC30,'SMT12'!AC30)/Sat,"")</f>
        <v>79.599999999999994</v>
      </c>
      <c r="N28" s="402">
        <f>IFERROR(AVERAGE('KL IV SMT 1'!AF30,'KL IV SMT 2'!AF30,'KL V SMT 1'!AF30,'KL V SMT 2'!AF30,'KL VI SMT 1'!AF30,'SMT12'!AF30)/Sat,"")</f>
        <v>74.8</v>
      </c>
      <c r="O28" s="402" t="str">
        <f>IFERROR(AVERAGE('KL IV SMT 1'!AI30,'KL IV SMT 2'!AI30,'KL V SMT 1'!AI30,'KL V SMT 2'!AI30,'KL VI SMT 1'!AI30,'SMT12'!AI30)/Sat,"")</f>
        <v/>
      </c>
      <c r="P28" s="402" t="str">
        <f>IFERROR(AVERAGE('KL IV SMT 1'!AL30,'KL IV SMT 2'!AL30,'KL V SMT 1'!AL30,'KL V SMT 2'!AL30,'KL VI SMT 1'!AL30,'SMT12'!AL30)/Sat,"")</f>
        <v/>
      </c>
      <c r="Q28" s="403">
        <f t="shared" si="1"/>
        <v>691.5</v>
      </c>
      <c r="R28" s="403">
        <f t="shared" si="0"/>
        <v>76.833333333333329</v>
      </c>
      <c r="S28" s="239">
        <f t="shared" si="2"/>
        <v>21</v>
      </c>
      <c r="U28" s="35" t="str">
        <f t="shared" si="3"/>
        <v>Kosong</v>
      </c>
    </row>
    <row r="29" spans="2:21">
      <c r="B29" s="236">
        <v>22</v>
      </c>
      <c r="C29" s="236" t="str">
        <f>'Data Siswa'!C25&amp;""</f>
        <v/>
      </c>
      <c r="D29" s="237" t="str">
        <f>'Data Siswa'!F25&amp;""</f>
        <v/>
      </c>
      <c r="E29" s="475"/>
      <c r="F29" s="402" t="str">
        <f>IFERROR(AVERAGE('KL IV SMT 1'!H31,'KL IV SMT 2'!H31,'KL V SMT 1'!H31,'KL V SMT 2'!H31,'KL VI SMT 1'!H31,'SMT12'!H31)/Sat,"")</f>
        <v/>
      </c>
      <c r="G29" s="402" t="str">
        <f>IFERROR(AVERAGE('KL IV SMT 1'!K31,'KL IV SMT 2'!K31,'KL V SMT 1'!K31,'KL V SMT 2'!K31,'KL VI SMT 1'!K31,'SMT12'!K31)/Sat,"")</f>
        <v/>
      </c>
      <c r="H29" s="402" t="str">
        <f>IFERROR(AVERAGE('KL IV SMT 1'!N31,'KL IV SMT 2'!N31,'KL V SMT 1'!N31,'KL V SMT 2'!N31,'KL VI SMT 1'!N31,'SMT12'!N31)/Sat,"")</f>
        <v/>
      </c>
      <c r="I29" s="402" t="str">
        <f>IFERROR(AVERAGE('KL IV SMT 1'!Q31,'KL IV SMT 2'!Q31,'KL V SMT 1'!Q31,'KL V SMT 2'!Q31,'KL VI SMT 1'!Q31,'SMT12'!Q31)/Sat,"")</f>
        <v/>
      </c>
      <c r="J29" s="402" t="str">
        <f>IFERROR(AVERAGE('KL IV SMT 1'!T31,'KL IV SMT 2'!T31,'KL V SMT 1'!T31,'KL V SMT 2'!T31,'KL VI SMT 1'!T31,'SMT12'!T31)/Sat,"")</f>
        <v/>
      </c>
      <c r="K29" s="402" t="str">
        <f>IFERROR(AVERAGE('KL IV SMT 1'!W31,'KL IV SMT 2'!W31,'KL V SMT 1'!W31,'KL V SMT 2'!W31,'KL VI SMT 1'!W31,'SMT12'!W31)/Sat,"")</f>
        <v/>
      </c>
      <c r="L29" s="402" t="str">
        <f>IFERROR(AVERAGE('KL IV SMT 1'!Z31,'KL IV SMT 2'!Z31,'KL V SMT 1'!Z31,'KL V SMT 2'!Z31,'KL VI SMT 1'!Z31,'SMT12'!Z31)/Sat,"")</f>
        <v/>
      </c>
      <c r="M29" s="402" t="str">
        <f>IFERROR(AVERAGE('KL IV SMT 1'!AC31,'KL IV SMT 2'!AC31,'KL V SMT 1'!AC31,'KL V SMT 2'!AC31,'KL VI SMT 1'!AC31,'SMT12'!AC31)/Sat,"")</f>
        <v/>
      </c>
      <c r="N29" s="402" t="str">
        <f>IFERROR(AVERAGE('KL IV SMT 1'!AF31,'KL IV SMT 2'!AF31,'KL V SMT 1'!AF31,'KL V SMT 2'!AF31,'KL VI SMT 1'!AF31,'SMT12'!AF31)/Sat,"")</f>
        <v/>
      </c>
      <c r="O29" s="402" t="str">
        <f>IFERROR(AVERAGE('KL IV SMT 1'!AI31,'KL IV SMT 2'!AI31,'KL V SMT 1'!AI31,'KL V SMT 2'!AI31,'KL VI SMT 1'!AI31,'SMT12'!AI31)/Sat,"")</f>
        <v/>
      </c>
      <c r="P29" s="402" t="str">
        <f>IFERROR(AVERAGE('KL IV SMT 1'!AL31,'KL IV SMT 2'!AL31,'KL V SMT 1'!AL31,'KL V SMT 2'!AL31,'KL VI SMT 1'!AL31,'SMT12'!AL31)/Sat,"")</f>
        <v/>
      </c>
      <c r="Q29" s="403" t="str">
        <f t="shared" si="1"/>
        <v/>
      </c>
      <c r="R29" s="403" t="str">
        <f t="shared" si="0"/>
        <v/>
      </c>
      <c r="S29" s="239" t="str">
        <f t="shared" si="2"/>
        <v/>
      </c>
      <c r="U29" s="35" t="str">
        <f t="shared" si="3"/>
        <v>Kosong</v>
      </c>
    </row>
    <row r="30" spans="2:21">
      <c r="B30" s="236">
        <v>23</v>
      </c>
      <c r="C30" s="236" t="str">
        <f>'Data Siswa'!C26&amp;""</f>
        <v/>
      </c>
      <c r="D30" s="237" t="str">
        <f>'Data Siswa'!F26&amp;""</f>
        <v/>
      </c>
      <c r="E30" s="475"/>
      <c r="F30" s="402" t="str">
        <f>IFERROR(AVERAGE('KL IV SMT 1'!H32,'KL IV SMT 2'!H32,'KL V SMT 1'!H32,'KL V SMT 2'!H32,'KL VI SMT 1'!H32,'SMT12'!H32)/Sat,"")</f>
        <v/>
      </c>
      <c r="G30" s="402" t="str">
        <f>IFERROR(AVERAGE('KL IV SMT 1'!K32,'KL IV SMT 2'!K32,'KL V SMT 1'!K32,'KL V SMT 2'!K32,'KL VI SMT 1'!K32,'SMT12'!K32)/Sat,"")</f>
        <v/>
      </c>
      <c r="H30" s="402" t="str">
        <f>IFERROR(AVERAGE('KL IV SMT 1'!N32,'KL IV SMT 2'!N32,'KL V SMT 1'!N32,'KL V SMT 2'!N32,'KL VI SMT 1'!N32,'SMT12'!N32)/Sat,"")</f>
        <v/>
      </c>
      <c r="I30" s="402" t="str">
        <f>IFERROR(AVERAGE('KL IV SMT 1'!Q32,'KL IV SMT 2'!Q32,'KL V SMT 1'!Q32,'KL V SMT 2'!Q32,'KL VI SMT 1'!Q32,'SMT12'!Q32)/Sat,"")</f>
        <v/>
      </c>
      <c r="J30" s="402" t="str">
        <f>IFERROR(AVERAGE('KL IV SMT 1'!T32,'KL IV SMT 2'!T32,'KL V SMT 1'!T32,'KL V SMT 2'!T32,'KL VI SMT 1'!T32,'SMT12'!T32)/Sat,"")</f>
        <v/>
      </c>
      <c r="K30" s="402" t="str">
        <f>IFERROR(AVERAGE('KL IV SMT 1'!W32,'KL IV SMT 2'!W32,'KL V SMT 1'!W32,'KL V SMT 2'!W32,'KL VI SMT 1'!W32,'SMT12'!W32)/Sat,"")</f>
        <v/>
      </c>
      <c r="L30" s="402" t="str">
        <f>IFERROR(AVERAGE('KL IV SMT 1'!Z32,'KL IV SMT 2'!Z32,'KL V SMT 1'!Z32,'KL V SMT 2'!Z32,'KL VI SMT 1'!Z32,'SMT12'!Z32)/Sat,"")</f>
        <v/>
      </c>
      <c r="M30" s="402" t="str">
        <f>IFERROR(AVERAGE('KL IV SMT 1'!AC32,'KL IV SMT 2'!AC32,'KL V SMT 1'!AC32,'KL V SMT 2'!AC32,'KL VI SMT 1'!AC32,'SMT12'!AC32)/Sat,"")</f>
        <v/>
      </c>
      <c r="N30" s="402" t="str">
        <f>IFERROR(AVERAGE('KL IV SMT 1'!AF32,'KL IV SMT 2'!AF32,'KL V SMT 1'!AF32,'KL V SMT 2'!AF32,'KL VI SMT 1'!AF32,'SMT12'!AF32)/Sat,"")</f>
        <v/>
      </c>
      <c r="O30" s="402" t="str">
        <f>IFERROR(AVERAGE('KL IV SMT 1'!AI32,'KL IV SMT 2'!AI32,'KL V SMT 1'!AI32,'KL V SMT 2'!AI32,'KL VI SMT 1'!AI32,'SMT12'!AI32)/Sat,"")</f>
        <v/>
      </c>
      <c r="P30" s="402" t="str">
        <f>IFERROR(AVERAGE('KL IV SMT 1'!AL32,'KL IV SMT 2'!AL32,'KL V SMT 1'!AL32,'KL V SMT 2'!AL32,'KL VI SMT 1'!AL32,'SMT12'!AL32)/Sat,"")</f>
        <v/>
      </c>
      <c r="Q30" s="403" t="str">
        <f t="shared" si="1"/>
        <v/>
      </c>
      <c r="R30" s="403" t="str">
        <f t="shared" si="0"/>
        <v/>
      </c>
      <c r="S30" s="239" t="str">
        <f t="shared" si="2"/>
        <v/>
      </c>
      <c r="U30" s="35" t="str">
        <f t="shared" si="3"/>
        <v>Kosong</v>
      </c>
    </row>
    <row r="31" spans="2:21">
      <c r="B31" s="236">
        <v>24</v>
      </c>
      <c r="C31" s="236" t="str">
        <f>'Data Siswa'!C27&amp;""</f>
        <v/>
      </c>
      <c r="D31" s="237" t="str">
        <f>'Data Siswa'!F27&amp;""</f>
        <v/>
      </c>
      <c r="E31" s="475"/>
      <c r="F31" s="402" t="str">
        <f>IFERROR(AVERAGE('KL IV SMT 1'!H33,'KL IV SMT 2'!H33,'KL V SMT 1'!H33,'KL V SMT 2'!H33,'KL VI SMT 1'!H33,'SMT12'!H33)/Sat,"")</f>
        <v/>
      </c>
      <c r="G31" s="402" t="str">
        <f>IFERROR(AVERAGE('KL IV SMT 1'!K33,'KL IV SMT 2'!K33,'KL V SMT 1'!K33,'KL V SMT 2'!K33,'KL VI SMT 1'!K33,'SMT12'!K33)/Sat,"")</f>
        <v/>
      </c>
      <c r="H31" s="402" t="str">
        <f>IFERROR(AVERAGE('KL IV SMT 1'!N33,'KL IV SMT 2'!N33,'KL V SMT 1'!N33,'KL V SMT 2'!N33,'KL VI SMT 1'!N33,'SMT12'!N33)/Sat,"")</f>
        <v/>
      </c>
      <c r="I31" s="402" t="str">
        <f>IFERROR(AVERAGE('KL IV SMT 1'!Q33,'KL IV SMT 2'!Q33,'KL V SMT 1'!Q33,'KL V SMT 2'!Q33,'KL VI SMT 1'!Q33,'SMT12'!Q33)/Sat,"")</f>
        <v/>
      </c>
      <c r="J31" s="402" t="str">
        <f>IFERROR(AVERAGE('KL IV SMT 1'!T33,'KL IV SMT 2'!T33,'KL V SMT 1'!T33,'KL V SMT 2'!T33,'KL VI SMT 1'!T33,'SMT12'!T33)/Sat,"")</f>
        <v/>
      </c>
      <c r="K31" s="402" t="str">
        <f>IFERROR(AVERAGE('KL IV SMT 1'!W33,'KL IV SMT 2'!W33,'KL V SMT 1'!W33,'KL V SMT 2'!W33,'KL VI SMT 1'!W33,'SMT12'!W33)/Sat,"")</f>
        <v/>
      </c>
      <c r="L31" s="402" t="str">
        <f>IFERROR(AVERAGE('KL IV SMT 1'!Z33,'KL IV SMT 2'!Z33,'KL V SMT 1'!Z33,'KL V SMT 2'!Z33,'KL VI SMT 1'!Z33,'SMT12'!Z33)/Sat,"")</f>
        <v/>
      </c>
      <c r="M31" s="402" t="str">
        <f>IFERROR(AVERAGE('KL IV SMT 1'!AC33,'KL IV SMT 2'!AC33,'KL V SMT 1'!AC33,'KL V SMT 2'!AC33,'KL VI SMT 1'!AC33,'SMT12'!AC33)/Sat,"")</f>
        <v/>
      </c>
      <c r="N31" s="402" t="str">
        <f>IFERROR(AVERAGE('KL IV SMT 1'!AF33,'KL IV SMT 2'!AF33,'KL V SMT 1'!AF33,'KL V SMT 2'!AF33,'KL VI SMT 1'!AF33,'SMT12'!AF33)/Sat,"")</f>
        <v/>
      </c>
      <c r="O31" s="402" t="str">
        <f>IFERROR(AVERAGE('KL IV SMT 1'!AI33,'KL IV SMT 2'!AI33,'KL V SMT 1'!AI33,'KL V SMT 2'!AI33,'KL VI SMT 1'!AI33,'SMT12'!AI33)/Sat,"")</f>
        <v/>
      </c>
      <c r="P31" s="402" t="str">
        <f>IFERROR(AVERAGE('KL IV SMT 1'!AL33,'KL IV SMT 2'!AL33,'KL V SMT 1'!AL33,'KL V SMT 2'!AL33,'KL VI SMT 1'!AL33,'SMT12'!AL33)/Sat,"")</f>
        <v/>
      </c>
      <c r="Q31" s="403" t="str">
        <f t="shared" si="1"/>
        <v/>
      </c>
      <c r="R31" s="403" t="str">
        <f t="shared" si="0"/>
        <v/>
      </c>
      <c r="S31" s="239" t="str">
        <f t="shared" si="2"/>
        <v/>
      </c>
      <c r="U31" s="35" t="str">
        <f t="shared" si="3"/>
        <v>Kosong</v>
      </c>
    </row>
    <row r="32" spans="2:21">
      <c r="B32" s="236">
        <v>25</v>
      </c>
      <c r="C32" s="236" t="str">
        <f>'Data Siswa'!C28&amp;""</f>
        <v/>
      </c>
      <c r="D32" s="237" t="str">
        <f>'Data Siswa'!F28&amp;""</f>
        <v/>
      </c>
      <c r="E32" s="475"/>
      <c r="F32" s="402" t="str">
        <f>IFERROR(AVERAGE('KL IV SMT 1'!H34,'KL IV SMT 2'!H34,'KL V SMT 1'!H34,'KL V SMT 2'!H34,'KL VI SMT 1'!H34,'SMT12'!H34)/Sat,"")</f>
        <v/>
      </c>
      <c r="G32" s="402" t="str">
        <f>IFERROR(AVERAGE('KL IV SMT 1'!K34,'KL IV SMT 2'!K34,'KL V SMT 1'!K34,'KL V SMT 2'!K34,'KL VI SMT 1'!K34,'SMT12'!K34)/Sat,"")</f>
        <v/>
      </c>
      <c r="H32" s="402" t="str">
        <f>IFERROR(AVERAGE('KL IV SMT 1'!N34,'KL IV SMT 2'!N34,'KL V SMT 1'!N34,'KL V SMT 2'!N34,'KL VI SMT 1'!N34,'SMT12'!N34)/Sat,"")</f>
        <v/>
      </c>
      <c r="I32" s="402" t="str">
        <f>IFERROR(AVERAGE('KL IV SMT 1'!Q34,'KL IV SMT 2'!Q34,'KL V SMT 1'!Q34,'KL V SMT 2'!Q34,'KL VI SMT 1'!Q34,'SMT12'!Q34)/Sat,"")</f>
        <v/>
      </c>
      <c r="J32" s="402" t="str">
        <f>IFERROR(AVERAGE('KL IV SMT 1'!T34,'KL IV SMT 2'!T34,'KL V SMT 1'!T34,'KL V SMT 2'!T34,'KL VI SMT 1'!T34,'SMT12'!T34)/Sat,"")</f>
        <v/>
      </c>
      <c r="K32" s="402" t="str">
        <f>IFERROR(AVERAGE('KL IV SMT 1'!W34,'KL IV SMT 2'!W34,'KL V SMT 1'!W34,'KL V SMT 2'!W34,'KL VI SMT 1'!W34,'SMT12'!W34)/Sat,"")</f>
        <v/>
      </c>
      <c r="L32" s="402" t="str">
        <f>IFERROR(AVERAGE('KL IV SMT 1'!Z34,'KL IV SMT 2'!Z34,'KL V SMT 1'!Z34,'KL V SMT 2'!Z34,'KL VI SMT 1'!Z34,'SMT12'!Z34)/Sat,"")</f>
        <v/>
      </c>
      <c r="M32" s="402" t="str">
        <f>IFERROR(AVERAGE('KL IV SMT 1'!AC34,'KL IV SMT 2'!AC34,'KL V SMT 1'!AC34,'KL V SMT 2'!AC34,'KL VI SMT 1'!AC34,'SMT12'!AC34)/Sat,"")</f>
        <v/>
      </c>
      <c r="N32" s="402" t="str">
        <f>IFERROR(AVERAGE('KL IV SMT 1'!AF34,'KL IV SMT 2'!AF34,'KL V SMT 1'!AF34,'KL V SMT 2'!AF34,'KL VI SMT 1'!AF34,'SMT12'!AF34)/Sat,"")</f>
        <v/>
      </c>
      <c r="O32" s="402" t="str">
        <f>IFERROR(AVERAGE('KL IV SMT 1'!AI34,'KL IV SMT 2'!AI34,'KL V SMT 1'!AI34,'KL V SMT 2'!AI34,'KL VI SMT 1'!AI34,'SMT12'!AI34)/Sat,"")</f>
        <v/>
      </c>
      <c r="P32" s="402" t="str">
        <f>IFERROR(AVERAGE('KL IV SMT 1'!AL34,'KL IV SMT 2'!AL34,'KL V SMT 1'!AL34,'KL V SMT 2'!AL34,'KL VI SMT 1'!AL34,'SMT12'!AL34)/Sat,"")</f>
        <v/>
      </c>
      <c r="Q32" s="403" t="str">
        <f t="shared" si="1"/>
        <v/>
      </c>
      <c r="R32" s="403" t="str">
        <f t="shared" si="0"/>
        <v/>
      </c>
      <c r="S32" s="239" t="str">
        <f t="shared" si="2"/>
        <v/>
      </c>
      <c r="U32" s="35" t="str">
        <f t="shared" si="3"/>
        <v>Kosong</v>
      </c>
    </row>
    <row r="33" spans="2:21">
      <c r="B33" s="236">
        <v>26</v>
      </c>
      <c r="C33" s="236" t="str">
        <f>'Data Siswa'!C29&amp;""</f>
        <v/>
      </c>
      <c r="D33" s="237" t="str">
        <f>'Data Siswa'!F29&amp;""</f>
        <v/>
      </c>
      <c r="E33" s="475"/>
      <c r="F33" s="402" t="str">
        <f>IFERROR(AVERAGE('KL IV SMT 1'!H35,'KL IV SMT 2'!H35,'KL V SMT 1'!H35,'KL V SMT 2'!H35,'KL VI SMT 1'!H35,'SMT12'!H35)/Sat,"")</f>
        <v/>
      </c>
      <c r="G33" s="402" t="str">
        <f>IFERROR(AVERAGE('KL IV SMT 1'!K35,'KL IV SMT 2'!K35,'KL V SMT 1'!K35,'KL V SMT 2'!K35,'KL VI SMT 1'!K35,'SMT12'!K35)/Sat,"")</f>
        <v/>
      </c>
      <c r="H33" s="402" t="str">
        <f>IFERROR(AVERAGE('KL IV SMT 1'!N35,'KL IV SMT 2'!N35,'KL V SMT 1'!N35,'KL V SMT 2'!N35,'KL VI SMT 1'!N35,'SMT12'!N35)/Sat,"")</f>
        <v/>
      </c>
      <c r="I33" s="402" t="str">
        <f>IFERROR(AVERAGE('KL IV SMT 1'!Q35,'KL IV SMT 2'!Q35,'KL V SMT 1'!Q35,'KL V SMT 2'!Q35,'KL VI SMT 1'!Q35,'SMT12'!Q35)/Sat,"")</f>
        <v/>
      </c>
      <c r="J33" s="402" t="str">
        <f>IFERROR(AVERAGE('KL IV SMT 1'!T35,'KL IV SMT 2'!T35,'KL V SMT 1'!T35,'KL V SMT 2'!T35,'KL VI SMT 1'!T35,'SMT12'!T35)/Sat,"")</f>
        <v/>
      </c>
      <c r="K33" s="402" t="str">
        <f>IFERROR(AVERAGE('KL IV SMT 1'!W35,'KL IV SMT 2'!W35,'KL V SMT 1'!W35,'KL V SMT 2'!W35,'KL VI SMT 1'!W35,'SMT12'!W35)/Sat,"")</f>
        <v/>
      </c>
      <c r="L33" s="402" t="str">
        <f>IFERROR(AVERAGE('KL IV SMT 1'!Z35,'KL IV SMT 2'!Z35,'KL V SMT 1'!Z35,'KL V SMT 2'!Z35,'KL VI SMT 1'!Z35,'SMT12'!Z35)/Sat,"")</f>
        <v/>
      </c>
      <c r="M33" s="402" t="str">
        <f>IFERROR(AVERAGE('KL IV SMT 1'!AC35,'KL IV SMT 2'!AC35,'KL V SMT 1'!AC35,'KL V SMT 2'!AC35,'KL VI SMT 1'!AC35,'SMT12'!AC35)/Sat,"")</f>
        <v/>
      </c>
      <c r="N33" s="402" t="str">
        <f>IFERROR(AVERAGE('KL IV SMT 1'!AF35,'KL IV SMT 2'!AF35,'KL V SMT 1'!AF35,'KL V SMT 2'!AF35,'KL VI SMT 1'!AF35,'SMT12'!AF35)/Sat,"")</f>
        <v/>
      </c>
      <c r="O33" s="402" t="str">
        <f>IFERROR(AVERAGE('KL IV SMT 1'!AI35,'KL IV SMT 2'!AI35,'KL V SMT 1'!AI35,'KL V SMT 2'!AI35,'KL VI SMT 1'!AI35,'SMT12'!AI35)/Sat,"")</f>
        <v/>
      </c>
      <c r="P33" s="402" t="str">
        <f>IFERROR(AVERAGE('KL IV SMT 1'!AL35,'KL IV SMT 2'!AL35,'KL V SMT 1'!AL35,'KL V SMT 2'!AL35,'KL VI SMT 1'!AL35,'SMT12'!AL35)/Sat,"")</f>
        <v/>
      </c>
      <c r="Q33" s="403" t="str">
        <f t="shared" si="1"/>
        <v/>
      </c>
      <c r="R33" s="403" t="str">
        <f t="shared" si="0"/>
        <v/>
      </c>
      <c r="S33" s="239" t="str">
        <f t="shared" si="2"/>
        <v/>
      </c>
      <c r="U33" s="35" t="str">
        <f t="shared" si="3"/>
        <v>Kosong</v>
      </c>
    </row>
    <row r="34" spans="2:21">
      <c r="B34" s="236">
        <v>27</v>
      </c>
      <c r="C34" s="236" t="str">
        <f>'Data Siswa'!C30&amp;""</f>
        <v/>
      </c>
      <c r="D34" s="237" t="str">
        <f>'Data Siswa'!F30&amp;""</f>
        <v/>
      </c>
      <c r="E34" s="475"/>
      <c r="F34" s="402" t="str">
        <f>IFERROR(AVERAGE('KL IV SMT 1'!H36,'KL IV SMT 2'!H36,'KL V SMT 1'!H36,'KL V SMT 2'!H36,'KL VI SMT 1'!H36,'SMT12'!H36)/Sat,"")</f>
        <v/>
      </c>
      <c r="G34" s="402" t="str">
        <f>IFERROR(AVERAGE('KL IV SMT 1'!K36,'KL IV SMT 2'!K36,'KL V SMT 1'!K36,'KL V SMT 2'!K36,'KL VI SMT 1'!K36,'SMT12'!K36)/Sat,"")</f>
        <v/>
      </c>
      <c r="H34" s="402" t="str">
        <f>IFERROR(AVERAGE('KL IV SMT 1'!N36,'KL IV SMT 2'!N36,'KL V SMT 1'!N36,'KL V SMT 2'!N36,'KL VI SMT 1'!N36,'SMT12'!N36)/Sat,"")</f>
        <v/>
      </c>
      <c r="I34" s="402" t="str">
        <f>IFERROR(AVERAGE('KL IV SMT 1'!Q36,'KL IV SMT 2'!Q36,'KL V SMT 1'!Q36,'KL V SMT 2'!Q36,'KL VI SMT 1'!Q36,'SMT12'!Q36)/Sat,"")</f>
        <v/>
      </c>
      <c r="J34" s="402" t="str">
        <f>IFERROR(AVERAGE('KL IV SMT 1'!T36,'KL IV SMT 2'!T36,'KL V SMT 1'!T36,'KL V SMT 2'!T36,'KL VI SMT 1'!T36,'SMT12'!T36)/Sat,"")</f>
        <v/>
      </c>
      <c r="K34" s="402" t="str">
        <f>IFERROR(AVERAGE('KL IV SMT 1'!W36,'KL IV SMT 2'!W36,'KL V SMT 1'!W36,'KL V SMT 2'!W36,'KL VI SMT 1'!W36,'SMT12'!W36)/Sat,"")</f>
        <v/>
      </c>
      <c r="L34" s="402" t="str">
        <f>IFERROR(AVERAGE('KL IV SMT 1'!Z36,'KL IV SMT 2'!Z36,'KL V SMT 1'!Z36,'KL V SMT 2'!Z36,'KL VI SMT 1'!Z36,'SMT12'!Z36)/Sat,"")</f>
        <v/>
      </c>
      <c r="M34" s="402" t="str">
        <f>IFERROR(AVERAGE('KL IV SMT 1'!AC36,'KL IV SMT 2'!AC36,'KL V SMT 1'!AC36,'KL V SMT 2'!AC36,'KL VI SMT 1'!AC36,'SMT12'!AC36)/Sat,"")</f>
        <v/>
      </c>
      <c r="N34" s="402" t="str">
        <f>IFERROR(AVERAGE('KL IV SMT 1'!AF36,'KL IV SMT 2'!AF36,'KL V SMT 1'!AF36,'KL V SMT 2'!AF36,'KL VI SMT 1'!AF36,'SMT12'!AF36)/Sat,"")</f>
        <v/>
      </c>
      <c r="O34" s="402" t="str">
        <f>IFERROR(AVERAGE('KL IV SMT 1'!AI36,'KL IV SMT 2'!AI36,'KL V SMT 1'!AI36,'KL V SMT 2'!AI36,'KL VI SMT 1'!AI36,'SMT12'!AI36)/Sat,"")</f>
        <v/>
      </c>
      <c r="P34" s="402" t="str">
        <f>IFERROR(AVERAGE('KL IV SMT 1'!AL36,'KL IV SMT 2'!AL36,'KL V SMT 1'!AL36,'KL V SMT 2'!AL36,'KL VI SMT 1'!AL36,'SMT12'!AL36)/Sat,"")</f>
        <v/>
      </c>
      <c r="Q34" s="403" t="str">
        <f t="shared" si="1"/>
        <v/>
      </c>
      <c r="R34" s="403" t="str">
        <f t="shared" si="0"/>
        <v/>
      </c>
      <c r="S34" s="239" t="str">
        <f t="shared" si="2"/>
        <v/>
      </c>
      <c r="U34" s="35" t="str">
        <f t="shared" si="3"/>
        <v>Kosong</v>
      </c>
    </row>
    <row r="35" spans="2:21">
      <c r="B35" s="236">
        <v>28</v>
      </c>
      <c r="C35" s="236" t="str">
        <f>'Data Siswa'!C31&amp;""</f>
        <v/>
      </c>
      <c r="D35" s="237" t="str">
        <f>'Data Siswa'!F31&amp;""</f>
        <v/>
      </c>
      <c r="E35" s="475"/>
      <c r="F35" s="402" t="str">
        <f>IFERROR(AVERAGE('KL IV SMT 1'!H37,'KL IV SMT 2'!H37,'KL V SMT 1'!H37,'KL V SMT 2'!H37,'KL VI SMT 1'!H37,'SMT12'!H37)/Sat,"")</f>
        <v/>
      </c>
      <c r="G35" s="402" t="str">
        <f>IFERROR(AVERAGE('KL IV SMT 1'!K37,'KL IV SMT 2'!K37,'KL V SMT 1'!K37,'KL V SMT 2'!K37,'KL VI SMT 1'!K37,'SMT12'!K37)/Sat,"")</f>
        <v/>
      </c>
      <c r="H35" s="402" t="str">
        <f>IFERROR(AVERAGE('KL IV SMT 1'!N37,'KL IV SMT 2'!N37,'KL V SMT 1'!N37,'KL V SMT 2'!N37,'KL VI SMT 1'!N37,'SMT12'!N37)/Sat,"")</f>
        <v/>
      </c>
      <c r="I35" s="402" t="str">
        <f>IFERROR(AVERAGE('KL IV SMT 1'!Q37,'KL IV SMT 2'!Q37,'KL V SMT 1'!Q37,'KL V SMT 2'!Q37,'KL VI SMT 1'!Q37,'SMT12'!Q37)/Sat,"")</f>
        <v/>
      </c>
      <c r="J35" s="402" t="str">
        <f>IFERROR(AVERAGE('KL IV SMT 1'!T37,'KL IV SMT 2'!T37,'KL V SMT 1'!T37,'KL V SMT 2'!T37,'KL VI SMT 1'!T37,'SMT12'!T37)/Sat,"")</f>
        <v/>
      </c>
      <c r="K35" s="402" t="str">
        <f>IFERROR(AVERAGE('KL IV SMT 1'!W37,'KL IV SMT 2'!W37,'KL V SMT 1'!W37,'KL V SMT 2'!W37,'KL VI SMT 1'!W37,'SMT12'!W37)/Sat,"")</f>
        <v/>
      </c>
      <c r="L35" s="402" t="str">
        <f>IFERROR(AVERAGE('KL IV SMT 1'!Z37,'KL IV SMT 2'!Z37,'KL V SMT 1'!Z37,'KL V SMT 2'!Z37,'KL VI SMT 1'!Z37,'SMT12'!Z37)/Sat,"")</f>
        <v/>
      </c>
      <c r="M35" s="402" t="str">
        <f>IFERROR(AVERAGE('KL IV SMT 1'!AC37,'KL IV SMT 2'!AC37,'KL V SMT 1'!AC37,'KL V SMT 2'!AC37,'KL VI SMT 1'!AC37,'SMT12'!AC37)/Sat,"")</f>
        <v/>
      </c>
      <c r="N35" s="402" t="str">
        <f>IFERROR(AVERAGE('KL IV SMT 1'!AF37,'KL IV SMT 2'!AF37,'KL V SMT 1'!AF37,'KL V SMT 2'!AF37,'KL VI SMT 1'!AF37,'SMT12'!AF37)/Sat,"")</f>
        <v/>
      </c>
      <c r="O35" s="402" t="str">
        <f>IFERROR(AVERAGE('KL IV SMT 1'!AI37,'KL IV SMT 2'!AI37,'KL V SMT 1'!AI37,'KL V SMT 2'!AI37,'KL VI SMT 1'!AI37,'SMT12'!AI37)/Sat,"")</f>
        <v/>
      </c>
      <c r="P35" s="402" t="str">
        <f>IFERROR(AVERAGE('KL IV SMT 1'!AL37,'KL IV SMT 2'!AL37,'KL V SMT 1'!AL37,'KL V SMT 2'!AL37,'KL VI SMT 1'!AL37,'SMT12'!AL37)/Sat,"")</f>
        <v/>
      </c>
      <c r="Q35" s="403" t="str">
        <f t="shared" si="1"/>
        <v/>
      </c>
      <c r="R35" s="403" t="str">
        <f t="shared" si="0"/>
        <v/>
      </c>
      <c r="S35" s="239" t="str">
        <f t="shared" si="2"/>
        <v/>
      </c>
      <c r="U35" s="35" t="str">
        <f t="shared" si="3"/>
        <v>Kosong</v>
      </c>
    </row>
    <row r="36" spans="2:21">
      <c r="B36" s="236">
        <v>29</v>
      </c>
      <c r="C36" s="236" t="str">
        <f>'Data Siswa'!C32&amp;""</f>
        <v/>
      </c>
      <c r="D36" s="237" t="str">
        <f>'Data Siswa'!F32&amp;""</f>
        <v/>
      </c>
      <c r="E36" s="475"/>
      <c r="F36" s="402" t="str">
        <f>IFERROR(AVERAGE('KL IV SMT 1'!H38,'KL IV SMT 2'!H38,'KL V SMT 1'!H38,'KL V SMT 2'!H38,'KL VI SMT 1'!H38,'SMT12'!H38)/Sat,"")</f>
        <v/>
      </c>
      <c r="G36" s="402" t="str">
        <f>IFERROR(AVERAGE('KL IV SMT 1'!K38,'KL IV SMT 2'!K38,'KL V SMT 1'!K38,'KL V SMT 2'!K38,'KL VI SMT 1'!K38,'SMT12'!K38)/Sat,"")</f>
        <v/>
      </c>
      <c r="H36" s="402" t="str">
        <f>IFERROR(AVERAGE('KL IV SMT 1'!N38,'KL IV SMT 2'!N38,'KL V SMT 1'!N38,'KL V SMT 2'!N38,'KL VI SMT 1'!N38,'SMT12'!N38)/Sat,"")</f>
        <v/>
      </c>
      <c r="I36" s="402" t="str">
        <f>IFERROR(AVERAGE('KL IV SMT 1'!Q38,'KL IV SMT 2'!Q38,'KL V SMT 1'!Q38,'KL V SMT 2'!Q38,'KL VI SMT 1'!Q38,'SMT12'!Q38)/Sat,"")</f>
        <v/>
      </c>
      <c r="J36" s="402" t="str">
        <f>IFERROR(AVERAGE('KL IV SMT 1'!T38,'KL IV SMT 2'!T38,'KL V SMT 1'!T38,'KL V SMT 2'!T38,'KL VI SMT 1'!T38,'SMT12'!T38)/Sat,"")</f>
        <v/>
      </c>
      <c r="K36" s="402" t="str">
        <f>IFERROR(AVERAGE('KL IV SMT 1'!W38,'KL IV SMT 2'!W38,'KL V SMT 1'!W38,'KL V SMT 2'!W38,'KL VI SMT 1'!W38,'SMT12'!W38)/Sat,"")</f>
        <v/>
      </c>
      <c r="L36" s="402" t="str">
        <f>IFERROR(AVERAGE('KL IV SMT 1'!Z38,'KL IV SMT 2'!Z38,'KL V SMT 1'!Z38,'KL V SMT 2'!Z38,'KL VI SMT 1'!Z38,'SMT12'!Z38)/Sat,"")</f>
        <v/>
      </c>
      <c r="M36" s="402" t="str">
        <f>IFERROR(AVERAGE('KL IV SMT 1'!AC38,'KL IV SMT 2'!AC38,'KL V SMT 1'!AC38,'KL V SMT 2'!AC38,'KL VI SMT 1'!AC38,'SMT12'!AC38)/Sat,"")</f>
        <v/>
      </c>
      <c r="N36" s="402" t="str">
        <f>IFERROR(AVERAGE('KL IV SMT 1'!AF38,'KL IV SMT 2'!AF38,'KL V SMT 1'!AF38,'KL V SMT 2'!AF38,'KL VI SMT 1'!AF38,'SMT12'!AF38)/Sat,"")</f>
        <v/>
      </c>
      <c r="O36" s="402" t="str">
        <f>IFERROR(AVERAGE('KL IV SMT 1'!AI38,'KL IV SMT 2'!AI38,'KL V SMT 1'!AI38,'KL V SMT 2'!AI38,'KL VI SMT 1'!AI38,'SMT12'!AI38)/Sat,"")</f>
        <v/>
      </c>
      <c r="P36" s="402" t="str">
        <f>IFERROR(AVERAGE('KL IV SMT 1'!AL38,'KL IV SMT 2'!AL38,'KL V SMT 1'!AL38,'KL V SMT 2'!AL38,'KL VI SMT 1'!AL38,'SMT12'!AL38)/Sat,"")</f>
        <v/>
      </c>
      <c r="Q36" s="403" t="str">
        <f t="shared" si="1"/>
        <v/>
      </c>
      <c r="R36" s="403" t="str">
        <f t="shared" si="0"/>
        <v/>
      </c>
      <c r="S36" s="239" t="str">
        <f t="shared" si="2"/>
        <v/>
      </c>
      <c r="U36" s="35" t="str">
        <f t="shared" si="3"/>
        <v>Kosong</v>
      </c>
    </row>
    <row r="37" spans="2:21">
      <c r="B37" s="236">
        <v>30</v>
      </c>
      <c r="C37" s="236" t="str">
        <f>'Data Siswa'!C33&amp;""</f>
        <v/>
      </c>
      <c r="D37" s="237" t="str">
        <f>'Data Siswa'!F33&amp;""</f>
        <v/>
      </c>
      <c r="E37" s="475"/>
      <c r="F37" s="402" t="str">
        <f>IFERROR(AVERAGE('KL IV SMT 1'!H39,'KL IV SMT 2'!H39,'KL V SMT 1'!H39,'KL V SMT 2'!H39,'KL VI SMT 1'!H39,'SMT12'!H39)/Sat,"")</f>
        <v/>
      </c>
      <c r="G37" s="402" t="str">
        <f>IFERROR(AVERAGE('KL IV SMT 1'!K39,'KL IV SMT 2'!K39,'KL V SMT 1'!K39,'KL V SMT 2'!K39,'KL VI SMT 1'!K39,'SMT12'!K39)/Sat,"")</f>
        <v/>
      </c>
      <c r="H37" s="402" t="str">
        <f>IFERROR(AVERAGE('KL IV SMT 1'!N39,'KL IV SMT 2'!N39,'KL V SMT 1'!N39,'KL V SMT 2'!N39,'KL VI SMT 1'!N39,'SMT12'!N39)/Sat,"")</f>
        <v/>
      </c>
      <c r="I37" s="402" t="str">
        <f>IFERROR(AVERAGE('KL IV SMT 1'!Q39,'KL IV SMT 2'!Q39,'KL V SMT 1'!Q39,'KL V SMT 2'!Q39,'KL VI SMT 1'!Q39,'SMT12'!Q39)/Sat,"")</f>
        <v/>
      </c>
      <c r="J37" s="402" t="str">
        <f>IFERROR(AVERAGE('KL IV SMT 1'!T39,'KL IV SMT 2'!T39,'KL V SMT 1'!T39,'KL V SMT 2'!T39,'KL VI SMT 1'!T39,'SMT12'!T39)/Sat,"")</f>
        <v/>
      </c>
      <c r="K37" s="402" t="str">
        <f>IFERROR(AVERAGE('KL IV SMT 1'!W39,'KL IV SMT 2'!W39,'KL V SMT 1'!W39,'KL V SMT 2'!W39,'KL VI SMT 1'!W39,'SMT12'!W39)/Sat,"")</f>
        <v/>
      </c>
      <c r="L37" s="402" t="str">
        <f>IFERROR(AVERAGE('KL IV SMT 1'!Z39,'KL IV SMT 2'!Z39,'KL V SMT 1'!Z39,'KL V SMT 2'!Z39,'KL VI SMT 1'!Z39,'SMT12'!Z39)/Sat,"")</f>
        <v/>
      </c>
      <c r="M37" s="402" t="str">
        <f>IFERROR(AVERAGE('KL IV SMT 1'!AC39,'KL IV SMT 2'!AC39,'KL V SMT 1'!AC39,'KL V SMT 2'!AC39,'KL VI SMT 1'!AC39,'SMT12'!AC39)/Sat,"")</f>
        <v/>
      </c>
      <c r="N37" s="402" t="str">
        <f>IFERROR(AVERAGE('KL IV SMT 1'!AF39,'KL IV SMT 2'!AF39,'KL V SMT 1'!AF39,'KL V SMT 2'!AF39,'KL VI SMT 1'!AF39,'SMT12'!AF39)/Sat,"")</f>
        <v/>
      </c>
      <c r="O37" s="402" t="str">
        <f>IFERROR(AVERAGE('KL IV SMT 1'!AI39,'KL IV SMT 2'!AI39,'KL V SMT 1'!AI39,'KL V SMT 2'!AI39,'KL VI SMT 1'!AI39,'SMT12'!AI39)/Sat,"")</f>
        <v/>
      </c>
      <c r="P37" s="402" t="str">
        <f>IFERROR(AVERAGE('KL IV SMT 1'!AL39,'KL IV SMT 2'!AL39,'KL V SMT 1'!AL39,'KL V SMT 2'!AL39,'KL VI SMT 1'!AL39,'SMT12'!AL39)/Sat,"")</f>
        <v/>
      </c>
      <c r="Q37" s="403" t="str">
        <f t="shared" si="1"/>
        <v/>
      </c>
      <c r="R37" s="403" t="str">
        <f t="shared" si="0"/>
        <v/>
      </c>
      <c r="S37" s="239" t="str">
        <f t="shared" si="2"/>
        <v/>
      </c>
      <c r="U37" s="35" t="str">
        <f t="shared" si="3"/>
        <v>Kosong</v>
      </c>
    </row>
    <row r="38" spans="2:21">
      <c r="B38" s="236">
        <v>31</v>
      </c>
      <c r="C38" s="236" t="str">
        <f>'Data Siswa'!C34&amp;""</f>
        <v/>
      </c>
      <c r="D38" s="237" t="str">
        <f>'Data Siswa'!F34&amp;""</f>
        <v/>
      </c>
      <c r="E38" s="475"/>
      <c r="F38" s="402" t="str">
        <f>IFERROR(AVERAGE('KL IV SMT 1'!H40,'KL IV SMT 2'!H40,'KL V SMT 1'!H40,'KL V SMT 2'!H40,'KL VI SMT 1'!H40,'SMT12'!H40)/Sat,"")</f>
        <v/>
      </c>
      <c r="G38" s="402" t="str">
        <f>IFERROR(AVERAGE('KL IV SMT 1'!K40,'KL IV SMT 2'!K40,'KL V SMT 1'!K40,'KL V SMT 2'!K40,'KL VI SMT 1'!K40,'SMT12'!K40)/Sat,"")</f>
        <v/>
      </c>
      <c r="H38" s="402" t="str">
        <f>IFERROR(AVERAGE('KL IV SMT 1'!N40,'KL IV SMT 2'!N40,'KL V SMT 1'!N40,'KL V SMT 2'!N40,'KL VI SMT 1'!N40,'SMT12'!N40)/Sat,"")</f>
        <v/>
      </c>
      <c r="I38" s="402" t="str">
        <f>IFERROR(AVERAGE('KL IV SMT 1'!Q40,'KL IV SMT 2'!Q40,'KL V SMT 1'!Q40,'KL V SMT 2'!Q40,'KL VI SMT 1'!Q40,'SMT12'!Q40)/Sat,"")</f>
        <v/>
      </c>
      <c r="J38" s="402" t="str">
        <f>IFERROR(AVERAGE('KL IV SMT 1'!T40,'KL IV SMT 2'!T40,'KL V SMT 1'!T40,'KL V SMT 2'!T40,'KL VI SMT 1'!T40,'SMT12'!T40)/Sat,"")</f>
        <v/>
      </c>
      <c r="K38" s="402" t="str">
        <f>IFERROR(AVERAGE('KL IV SMT 1'!W40,'KL IV SMT 2'!W40,'KL V SMT 1'!W40,'KL V SMT 2'!W40,'KL VI SMT 1'!W40,'SMT12'!W40)/Sat,"")</f>
        <v/>
      </c>
      <c r="L38" s="402" t="str">
        <f>IFERROR(AVERAGE('KL IV SMT 1'!Z40,'KL IV SMT 2'!Z40,'KL V SMT 1'!Z40,'KL V SMT 2'!Z40,'KL VI SMT 1'!Z40,'SMT12'!Z40)/Sat,"")</f>
        <v/>
      </c>
      <c r="M38" s="402" t="str">
        <f>IFERROR(AVERAGE('KL IV SMT 1'!AC40,'KL IV SMT 2'!AC40,'KL V SMT 1'!AC40,'KL V SMT 2'!AC40,'KL VI SMT 1'!AC40,'SMT12'!AC40)/Sat,"")</f>
        <v/>
      </c>
      <c r="N38" s="402" t="str">
        <f>IFERROR(AVERAGE('KL IV SMT 1'!AF40,'KL IV SMT 2'!AF40,'KL V SMT 1'!AF40,'KL V SMT 2'!AF40,'KL VI SMT 1'!AF40,'SMT12'!AF40)/Sat,"")</f>
        <v/>
      </c>
      <c r="O38" s="402" t="str">
        <f>IFERROR(AVERAGE('KL IV SMT 1'!AI40,'KL IV SMT 2'!AI40,'KL V SMT 1'!AI40,'KL V SMT 2'!AI40,'KL VI SMT 1'!AI40,'SMT12'!AI40)/Sat,"")</f>
        <v/>
      </c>
      <c r="P38" s="402" t="str">
        <f>IFERROR(AVERAGE('KL IV SMT 1'!AL40,'KL IV SMT 2'!AL40,'KL V SMT 1'!AL40,'KL V SMT 2'!AL40,'KL VI SMT 1'!AL40,'SMT12'!AL40)/Sat,"")</f>
        <v/>
      </c>
      <c r="Q38" s="403" t="str">
        <f t="shared" si="1"/>
        <v/>
      </c>
      <c r="R38" s="403" t="str">
        <f t="shared" si="0"/>
        <v/>
      </c>
      <c r="S38" s="239" t="str">
        <f t="shared" si="2"/>
        <v/>
      </c>
      <c r="U38" s="35" t="str">
        <f t="shared" si="3"/>
        <v>Kosong</v>
      </c>
    </row>
    <row r="39" spans="2:21">
      <c r="B39" s="236">
        <v>32</v>
      </c>
      <c r="C39" s="236" t="str">
        <f>'Data Siswa'!C35&amp;""</f>
        <v/>
      </c>
      <c r="D39" s="237" t="str">
        <f>'Data Siswa'!F35&amp;""</f>
        <v/>
      </c>
      <c r="E39" s="475"/>
      <c r="F39" s="402" t="str">
        <f>IFERROR(AVERAGE('KL IV SMT 1'!H41,'KL IV SMT 2'!H41,'KL V SMT 1'!H41,'KL V SMT 2'!H41,'KL VI SMT 1'!H41,'SMT12'!H41)/Sat,"")</f>
        <v/>
      </c>
      <c r="G39" s="402" t="str">
        <f>IFERROR(AVERAGE('KL IV SMT 1'!K41,'KL IV SMT 2'!K41,'KL V SMT 1'!K41,'KL V SMT 2'!K41,'KL VI SMT 1'!K41,'SMT12'!K41)/Sat,"")</f>
        <v/>
      </c>
      <c r="H39" s="402" t="str">
        <f>IFERROR(AVERAGE('KL IV SMT 1'!N41,'KL IV SMT 2'!N41,'KL V SMT 1'!N41,'KL V SMT 2'!N41,'KL VI SMT 1'!N41,'SMT12'!N41)/Sat,"")</f>
        <v/>
      </c>
      <c r="I39" s="402" t="str">
        <f>IFERROR(AVERAGE('KL IV SMT 1'!Q41,'KL IV SMT 2'!Q41,'KL V SMT 1'!Q41,'KL V SMT 2'!Q41,'KL VI SMT 1'!Q41,'SMT12'!Q41)/Sat,"")</f>
        <v/>
      </c>
      <c r="J39" s="402" t="str">
        <f>IFERROR(AVERAGE('KL IV SMT 1'!T41,'KL IV SMT 2'!T41,'KL V SMT 1'!T41,'KL V SMT 2'!T41,'KL VI SMT 1'!T41,'SMT12'!T41)/Sat,"")</f>
        <v/>
      </c>
      <c r="K39" s="402" t="str">
        <f>IFERROR(AVERAGE('KL IV SMT 1'!W41,'KL IV SMT 2'!W41,'KL V SMT 1'!W41,'KL V SMT 2'!W41,'KL VI SMT 1'!W41,'SMT12'!W41)/Sat,"")</f>
        <v/>
      </c>
      <c r="L39" s="402" t="str">
        <f>IFERROR(AVERAGE('KL IV SMT 1'!Z41,'KL IV SMT 2'!Z41,'KL V SMT 1'!Z41,'KL V SMT 2'!Z41,'KL VI SMT 1'!Z41,'SMT12'!Z41)/Sat,"")</f>
        <v/>
      </c>
      <c r="M39" s="402" t="str">
        <f>IFERROR(AVERAGE('KL IV SMT 1'!AC41,'KL IV SMT 2'!AC41,'KL V SMT 1'!AC41,'KL V SMT 2'!AC41,'KL VI SMT 1'!AC41,'SMT12'!AC41)/Sat,"")</f>
        <v/>
      </c>
      <c r="N39" s="402" t="str">
        <f>IFERROR(AVERAGE('KL IV SMT 1'!AF41,'KL IV SMT 2'!AF41,'KL V SMT 1'!AF41,'KL V SMT 2'!AF41,'KL VI SMT 1'!AF41,'SMT12'!AF41)/Sat,"")</f>
        <v/>
      </c>
      <c r="O39" s="402" t="str">
        <f>IFERROR(AVERAGE('KL IV SMT 1'!AI41,'KL IV SMT 2'!AI41,'KL V SMT 1'!AI41,'KL V SMT 2'!AI41,'KL VI SMT 1'!AI41,'SMT12'!AI41)/Sat,"")</f>
        <v/>
      </c>
      <c r="P39" s="402" t="str">
        <f>IFERROR(AVERAGE('KL IV SMT 1'!AL41,'KL IV SMT 2'!AL41,'KL V SMT 1'!AL41,'KL V SMT 2'!AL41,'KL VI SMT 1'!AL41,'SMT12'!AL41)/Sat,"")</f>
        <v/>
      </c>
      <c r="Q39" s="403" t="str">
        <f t="shared" si="1"/>
        <v/>
      </c>
      <c r="R39" s="403" t="str">
        <f t="shared" si="0"/>
        <v/>
      </c>
      <c r="S39" s="239" t="str">
        <f t="shared" si="2"/>
        <v/>
      </c>
      <c r="U39" s="35" t="str">
        <f t="shared" si="3"/>
        <v>Kosong</v>
      </c>
    </row>
    <row r="40" spans="2:21">
      <c r="B40" s="236">
        <v>33</v>
      </c>
      <c r="C40" s="236" t="str">
        <f>'Data Siswa'!C36&amp;""</f>
        <v/>
      </c>
      <c r="D40" s="237" t="str">
        <f>'Data Siswa'!F36&amp;""</f>
        <v/>
      </c>
      <c r="E40" s="475"/>
      <c r="F40" s="402" t="str">
        <f>IFERROR(AVERAGE('KL IV SMT 1'!H42,'KL IV SMT 2'!H42,'KL V SMT 1'!H42,'KL V SMT 2'!H42,'KL VI SMT 1'!H42,'SMT12'!H42)/Sat,"")</f>
        <v/>
      </c>
      <c r="G40" s="402" t="str">
        <f>IFERROR(AVERAGE('KL IV SMT 1'!K42,'KL IV SMT 2'!K42,'KL V SMT 1'!K42,'KL V SMT 2'!K42,'KL VI SMT 1'!K42,'SMT12'!K42)/Sat,"")</f>
        <v/>
      </c>
      <c r="H40" s="402" t="str">
        <f>IFERROR(AVERAGE('KL IV SMT 1'!N42,'KL IV SMT 2'!N42,'KL V SMT 1'!N42,'KL V SMT 2'!N42,'KL VI SMT 1'!N42,'SMT12'!N42)/Sat,"")</f>
        <v/>
      </c>
      <c r="I40" s="402" t="str">
        <f>IFERROR(AVERAGE('KL IV SMT 1'!Q42,'KL IV SMT 2'!Q42,'KL V SMT 1'!Q42,'KL V SMT 2'!Q42,'KL VI SMT 1'!Q42,'SMT12'!Q42)/Sat,"")</f>
        <v/>
      </c>
      <c r="J40" s="402" t="str">
        <f>IFERROR(AVERAGE('KL IV SMT 1'!T42,'KL IV SMT 2'!T42,'KL V SMT 1'!T42,'KL V SMT 2'!T42,'KL VI SMT 1'!T42,'SMT12'!T42)/Sat,"")</f>
        <v/>
      </c>
      <c r="K40" s="402" t="str">
        <f>IFERROR(AVERAGE('KL IV SMT 1'!W42,'KL IV SMT 2'!W42,'KL V SMT 1'!W42,'KL V SMT 2'!W42,'KL VI SMT 1'!W42,'SMT12'!W42)/Sat,"")</f>
        <v/>
      </c>
      <c r="L40" s="402" t="str">
        <f>IFERROR(AVERAGE('KL IV SMT 1'!Z42,'KL IV SMT 2'!Z42,'KL V SMT 1'!Z42,'KL V SMT 2'!Z42,'KL VI SMT 1'!Z42,'SMT12'!Z42)/Sat,"")</f>
        <v/>
      </c>
      <c r="M40" s="402" t="str">
        <f>IFERROR(AVERAGE('KL IV SMT 1'!AC42,'KL IV SMT 2'!AC42,'KL V SMT 1'!AC42,'KL V SMT 2'!AC42,'KL VI SMT 1'!AC42,'SMT12'!AC42)/Sat,"")</f>
        <v/>
      </c>
      <c r="N40" s="402" t="str">
        <f>IFERROR(AVERAGE('KL IV SMT 1'!AF42,'KL IV SMT 2'!AF42,'KL V SMT 1'!AF42,'KL V SMT 2'!AF42,'KL VI SMT 1'!AF42,'SMT12'!AF42)/Sat,"")</f>
        <v/>
      </c>
      <c r="O40" s="402" t="str">
        <f>IFERROR(AVERAGE('KL IV SMT 1'!AI42,'KL IV SMT 2'!AI42,'KL V SMT 1'!AI42,'KL V SMT 2'!AI42,'KL VI SMT 1'!AI42,'SMT12'!AI42)/Sat,"")</f>
        <v/>
      </c>
      <c r="P40" s="402" t="str">
        <f>IFERROR(AVERAGE('KL IV SMT 1'!AL42,'KL IV SMT 2'!AL42,'KL V SMT 1'!AL42,'KL V SMT 2'!AL42,'KL VI SMT 1'!AL42,'SMT12'!AL42)/Sat,"")</f>
        <v/>
      </c>
      <c r="Q40" s="403" t="str">
        <f t="shared" si="1"/>
        <v/>
      </c>
      <c r="R40" s="403" t="str">
        <f t="shared" ref="R40:R57" si="4">IFERROR(AVERAGE(F40:P40)/Sat,"")</f>
        <v/>
      </c>
      <c r="S40" s="239" t="str">
        <f t="shared" si="2"/>
        <v/>
      </c>
      <c r="U40" s="35" t="str">
        <f t="shared" si="3"/>
        <v>Kosong</v>
      </c>
    </row>
    <row r="41" spans="2:21">
      <c r="B41" s="236">
        <v>34</v>
      </c>
      <c r="C41" s="236" t="str">
        <f>'Data Siswa'!C37&amp;""</f>
        <v/>
      </c>
      <c r="D41" s="237" t="str">
        <f>'Data Siswa'!F37&amp;""</f>
        <v/>
      </c>
      <c r="E41" s="475"/>
      <c r="F41" s="402" t="str">
        <f>IFERROR(AVERAGE('KL IV SMT 1'!H43,'KL IV SMT 2'!H43,'KL V SMT 1'!H43,'KL V SMT 2'!H43,'KL VI SMT 1'!H43,'SMT12'!H43)/Sat,"")</f>
        <v/>
      </c>
      <c r="G41" s="402" t="str">
        <f>IFERROR(AVERAGE('KL IV SMT 1'!K43,'KL IV SMT 2'!K43,'KL V SMT 1'!K43,'KL V SMT 2'!K43,'KL VI SMT 1'!K43,'SMT12'!K43)/Sat,"")</f>
        <v/>
      </c>
      <c r="H41" s="402" t="str">
        <f>IFERROR(AVERAGE('KL IV SMT 1'!N43,'KL IV SMT 2'!N43,'KL V SMT 1'!N43,'KL V SMT 2'!N43,'KL VI SMT 1'!N43,'SMT12'!N43)/Sat,"")</f>
        <v/>
      </c>
      <c r="I41" s="402" t="str">
        <f>IFERROR(AVERAGE('KL IV SMT 1'!Q43,'KL IV SMT 2'!Q43,'KL V SMT 1'!Q43,'KL V SMT 2'!Q43,'KL VI SMT 1'!Q43,'SMT12'!Q43)/Sat,"")</f>
        <v/>
      </c>
      <c r="J41" s="402" t="str">
        <f>IFERROR(AVERAGE('KL IV SMT 1'!T43,'KL IV SMT 2'!T43,'KL V SMT 1'!T43,'KL V SMT 2'!T43,'KL VI SMT 1'!T43,'SMT12'!T43)/Sat,"")</f>
        <v/>
      </c>
      <c r="K41" s="402" t="str">
        <f>IFERROR(AVERAGE('KL IV SMT 1'!W43,'KL IV SMT 2'!W43,'KL V SMT 1'!W43,'KL V SMT 2'!W43,'KL VI SMT 1'!W43,'SMT12'!W43)/Sat,"")</f>
        <v/>
      </c>
      <c r="L41" s="402" t="str">
        <f>IFERROR(AVERAGE('KL IV SMT 1'!Z43,'KL IV SMT 2'!Z43,'KL V SMT 1'!Z43,'KL V SMT 2'!Z43,'KL VI SMT 1'!Z43,'SMT12'!Z43)/Sat,"")</f>
        <v/>
      </c>
      <c r="M41" s="402" t="str">
        <f>IFERROR(AVERAGE('KL IV SMT 1'!AC43,'KL IV SMT 2'!AC43,'KL V SMT 1'!AC43,'KL V SMT 2'!AC43,'KL VI SMT 1'!AC43,'SMT12'!AC43)/Sat,"")</f>
        <v/>
      </c>
      <c r="N41" s="402" t="str">
        <f>IFERROR(AVERAGE('KL IV SMT 1'!AF43,'KL IV SMT 2'!AF43,'KL V SMT 1'!AF43,'KL V SMT 2'!AF43,'KL VI SMT 1'!AF43,'SMT12'!AF43)/Sat,"")</f>
        <v/>
      </c>
      <c r="O41" s="402" t="str">
        <f>IFERROR(AVERAGE('KL IV SMT 1'!AI43,'KL IV SMT 2'!AI43,'KL V SMT 1'!AI43,'KL V SMT 2'!AI43,'KL VI SMT 1'!AI43,'SMT12'!AI43)/Sat,"")</f>
        <v/>
      </c>
      <c r="P41" s="402" t="str">
        <f>IFERROR(AVERAGE('KL IV SMT 1'!AL43,'KL IV SMT 2'!AL43,'KL V SMT 1'!AL43,'KL V SMT 2'!AL43,'KL VI SMT 1'!AL43,'SMT12'!AL43)/Sat,"")</f>
        <v/>
      </c>
      <c r="Q41" s="403" t="str">
        <f t="shared" si="1"/>
        <v/>
      </c>
      <c r="R41" s="403" t="str">
        <f t="shared" si="4"/>
        <v/>
      </c>
      <c r="S41" s="239" t="str">
        <f t="shared" si="2"/>
        <v/>
      </c>
      <c r="U41" s="35" t="str">
        <f t="shared" si="3"/>
        <v>Kosong</v>
      </c>
    </row>
    <row r="42" spans="2:21">
      <c r="B42" s="236">
        <v>35</v>
      </c>
      <c r="C42" s="236" t="str">
        <f>'Data Siswa'!C38&amp;""</f>
        <v/>
      </c>
      <c r="D42" s="237" t="str">
        <f>'Data Siswa'!F38&amp;""</f>
        <v/>
      </c>
      <c r="E42" s="475"/>
      <c r="F42" s="402" t="str">
        <f>IFERROR(AVERAGE('KL IV SMT 1'!H44,'KL IV SMT 2'!H44,'KL V SMT 1'!H44,'KL V SMT 2'!H44,'KL VI SMT 1'!H44,'SMT12'!H44)/Sat,"")</f>
        <v/>
      </c>
      <c r="G42" s="402" t="str">
        <f>IFERROR(AVERAGE('KL IV SMT 1'!K44,'KL IV SMT 2'!K44,'KL V SMT 1'!K44,'KL V SMT 2'!K44,'KL VI SMT 1'!K44,'SMT12'!K44)/Sat,"")</f>
        <v/>
      </c>
      <c r="H42" s="402" t="str">
        <f>IFERROR(AVERAGE('KL IV SMT 1'!N44,'KL IV SMT 2'!N44,'KL V SMT 1'!N44,'KL V SMT 2'!N44,'KL VI SMT 1'!N44,'SMT12'!N44)/Sat,"")</f>
        <v/>
      </c>
      <c r="I42" s="402" t="str">
        <f>IFERROR(AVERAGE('KL IV SMT 1'!Q44,'KL IV SMT 2'!Q44,'KL V SMT 1'!Q44,'KL V SMT 2'!Q44,'KL VI SMT 1'!Q44,'SMT12'!Q44)/Sat,"")</f>
        <v/>
      </c>
      <c r="J42" s="402" t="str">
        <f>IFERROR(AVERAGE('KL IV SMT 1'!T44,'KL IV SMT 2'!T44,'KL V SMT 1'!T44,'KL V SMT 2'!T44,'KL VI SMT 1'!T44,'SMT12'!T44)/Sat,"")</f>
        <v/>
      </c>
      <c r="K42" s="402" t="str">
        <f>IFERROR(AVERAGE('KL IV SMT 1'!W44,'KL IV SMT 2'!W44,'KL V SMT 1'!W44,'KL V SMT 2'!W44,'KL VI SMT 1'!W44,'SMT12'!W44)/Sat,"")</f>
        <v/>
      </c>
      <c r="L42" s="402" t="str">
        <f>IFERROR(AVERAGE('KL IV SMT 1'!Z44,'KL IV SMT 2'!Z44,'KL V SMT 1'!Z44,'KL V SMT 2'!Z44,'KL VI SMT 1'!Z44,'SMT12'!Z44)/Sat,"")</f>
        <v/>
      </c>
      <c r="M42" s="402" t="str">
        <f>IFERROR(AVERAGE('KL IV SMT 1'!AC44,'KL IV SMT 2'!AC44,'KL V SMT 1'!AC44,'KL V SMT 2'!AC44,'KL VI SMT 1'!AC44,'SMT12'!AC44)/Sat,"")</f>
        <v/>
      </c>
      <c r="N42" s="402" t="str">
        <f>IFERROR(AVERAGE('KL IV SMT 1'!AF44,'KL IV SMT 2'!AF44,'KL V SMT 1'!AF44,'KL V SMT 2'!AF44,'KL VI SMT 1'!AF44,'SMT12'!AF44)/Sat,"")</f>
        <v/>
      </c>
      <c r="O42" s="402" t="str">
        <f>IFERROR(AVERAGE('KL IV SMT 1'!AI44,'KL IV SMT 2'!AI44,'KL V SMT 1'!AI44,'KL V SMT 2'!AI44,'KL VI SMT 1'!AI44,'SMT12'!AI44)/Sat,"")</f>
        <v/>
      </c>
      <c r="P42" s="402" t="str">
        <f>IFERROR(AVERAGE('KL IV SMT 1'!AL44,'KL IV SMT 2'!AL44,'KL V SMT 1'!AL44,'KL V SMT 2'!AL44,'KL VI SMT 1'!AL44,'SMT12'!AL44)/Sat,"")</f>
        <v/>
      </c>
      <c r="Q42" s="403" t="str">
        <f t="shared" si="1"/>
        <v/>
      </c>
      <c r="R42" s="403" t="str">
        <f t="shared" si="4"/>
        <v/>
      </c>
      <c r="S42" s="239" t="str">
        <f t="shared" si="2"/>
        <v/>
      </c>
      <c r="U42" s="35" t="str">
        <f t="shared" si="3"/>
        <v>Kosong</v>
      </c>
    </row>
    <row r="43" spans="2:21">
      <c r="B43" s="236">
        <v>36</v>
      </c>
      <c r="C43" s="236" t="str">
        <f>'Data Siswa'!C39&amp;""</f>
        <v/>
      </c>
      <c r="D43" s="237" t="str">
        <f>'Data Siswa'!F39&amp;""</f>
        <v/>
      </c>
      <c r="E43" s="475"/>
      <c r="F43" s="402" t="str">
        <f>IFERROR(AVERAGE('KL IV SMT 1'!H45,'KL IV SMT 2'!H45,'KL V SMT 1'!H45,'KL V SMT 2'!H45,'KL VI SMT 1'!H45,'SMT12'!H45)/Sat,"")</f>
        <v/>
      </c>
      <c r="G43" s="402" t="str">
        <f>IFERROR(AVERAGE('KL IV SMT 1'!K45,'KL IV SMT 2'!K45,'KL V SMT 1'!K45,'KL V SMT 2'!K45,'KL VI SMT 1'!K45,'SMT12'!K45)/Sat,"")</f>
        <v/>
      </c>
      <c r="H43" s="402" t="str">
        <f>IFERROR(AVERAGE('KL IV SMT 1'!N45,'KL IV SMT 2'!N45,'KL V SMT 1'!N45,'KL V SMT 2'!N45,'KL VI SMT 1'!N45,'SMT12'!N45)/Sat,"")</f>
        <v/>
      </c>
      <c r="I43" s="402" t="str">
        <f>IFERROR(AVERAGE('KL IV SMT 1'!Q45,'KL IV SMT 2'!Q45,'KL V SMT 1'!Q45,'KL V SMT 2'!Q45,'KL VI SMT 1'!Q45,'SMT12'!Q45)/Sat,"")</f>
        <v/>
      </c>
      <c r="J43" s="402" t="str">
        <f>IFERROR(AVERAGE('KL IV SMT 1'!T45,'KL IV SMT 2'!T45,'KL V SMT 1'!T45,'KL V SMT 2'!T45,'KL VI SMT 1'!T45,'SMT12'!T45)/Sat,"")</f>
        <v/>
      </c>
      <c r="K43" s="402" t="str">
        <f>IFERROR(AVERAGE('KL IV SMT 1'!W45,'KL IV SMT 2'!W45,'KL V SMT 1'!W45,'KL V SMT 2'!W45,'KL VI SMT 1'!W45,'SMT12'!W45)/Sat,"")</f>
        <v/>
      </c>
      <c r="L43" s="402" t="str">
        <f>IFERROR(AVERAGE('KL IV SMT 1'!Z45,'KL IV SMT 2'!Z45,'KL V SMT 1'!Z45,'KL V SMT 2'!Z45,'KL VI SMT 1'!Z45,'SMT12'!Z45)/Sat,"")</f>
        <v/>
      </c>
      <c r="M43" s="402" t="str">
        <f>IFERROR(AVERAGE('KL IV SMT 1'!AC45,'KL IV SMT 2'!AC45,'KL V SMT 1'!AC45,'KL V SMT 2'!AC45,'KL VI SMT 1'!AC45,'SMT12'!AC45)/Sat,"")</f>
        <v/>
      </c>
      <c r="N43" s="402" t="str">
        <f>IFERROR(AVERAGE('KL IV SMT 1'!AF45,'KL IV SMT 2'!AF45,'KL V SMT 1'!AF45,'KL V SMT 2'!AF45,'KL VI SMT 1'!AF45,'SMT12'!AF45)/Sat,"")</f>
        <v/>
      </c>
      <c r="O43" s="402" t="str">
        <f>IFERROR(AVERAGE('KL IV SMT 1'!AI45,'KL IV SMT 2'!AI45,'KL V SMT 1'!AI45,'KL V SMT 2'!AI45,'KL VI SMT 1'!AI45,'SMT12'!AI45)/Sat,"")</f>
        <v/>
      </c>
      <c r="P43" s="402" t="str">
        <f>IFERROR(AVERAGE('KL IV SMT 1'!AL45,'KL IV SMT 2'!AL45,'KL V SMT 1'!AL45,'KL V SMT 2'!AL45,'KL VI SMT 1'!AL45,'SMT12'!AL45)/Sat,"")</f>
        <v/>
      </c>
      <c r="Q43" s="403" t="str">
        <f t="shared" si="1"/>
        <v/>
      </c>
      <c r="R43" s="403" t="str">
        <f t="shared" si="4"/>
        <v/>
      </c>
      <c r="S43" s="239" t="str">
        <f t="shared" si="2"/>
        <v/>
      </c>
      <c r="U43" s="35" t="str">
        <f t="shared" si="3"/>
        <v>Kosong</v>
      </c>
    </row>
    <row r="44" spans="2:21">
      <c r="B44" s="236">
        <v>37</v>
      </c>
      <c r="C44" s="236" t="str">
        <f>'Data Siswa'!C40&amp;""</f>
        <v/>
      </c>
      <c r="D44" s="237" t="str">
        <f>'Data Siswa'!F40&amp;""</f>
        <v/>
      </c>
      <c r="E44" s="475"/>
      <c r="F44" s="402" t="str">
        <f>IFERROR(AVERAGE('KL IV SMT 1'!H46,'KL IV SMT 2'!H46,'KL V SMT 1'!H46,'KL V SMT 2'!H46,'KL VI SMT 1'!H46,'SMT12'!H46)/Sat,"")</f>
        <v/>
      </c>
      <c r="G44" s="402" t="str">
        <f>IFERROR(AVERAGE('KL IV SMT 1'!K46,'KL IV SMT 2'!K46,'KL V SMT 1'!K46,'KL V SMT 2'!K46,'KL VI SMT 1'!K46,'SMT12'!K46)/Sat,"")</f>
        <v/>
      </c>
      <c r="H44" s="402" t="str">
        <f>IFERROR(AVERAGE('KL IV SMT 1'!N46,'KL IV SMT 2'!N46,'KL V SMT 1'!N46,'KL V SMT 2'!N46,'KL VI SMT 1'!N46,'SMT12'!N46)/Sat,"")</f>
        <v/>
      </c>
      <c r="I44" s="402" t="str">
        <f>IFERROR(AVERAGE('KL IV SMT 1'!Q46,'KL IV SMT 2'!Q46,'KL V SMT 1'!Q46,'KL V SMT 2'!Q46,'KL VI SMT 1'!Q46,'SMT12'!Q46)/Sat,"")</f>
        <v/>
      </c>
      <c r="J44" s="402" t="str">
        <f>IFERROR(AVERAGE('KL IV SMT 1'!T46,'KL IV SMT 2'!T46,'KL V SMT 1'!T46,'KL V SMT 2'!T46,'KL VI SMT 1'!T46,'SMT12'!T46)/Sat,"")</f>
        <v/>
      </c>
      <c r="K44" s="402" t="str">
        <f>IFERROR(AVERAGE('KL IV SMT 1'!W46,'KL IV SMT 2'!W46,'KL V SMT 1'!W46,'KL V SMT 2'!W46,'KL VI SMT 1'!W46,'SMT12'!W46)/Sat,"")</f>
        <v/>
      </c>
      <c r="L44" s="402" t="str">
        <f>IFERROR(AVERAGE('KL IV SMT 1'!Z46,'KL IV SMT 2'!Z46,'KL V SMT 1'!Z46,'KL V SMT 2'!Z46,'KL VI SMT 1'!Z46,'SMT12'!Z46)/Sat,"")</f>
        <v/>
      </c>
      <c r="M44" s="402" t="str">
        <f>IFERROR(AVERAGE('KL IV SMT 1'!AC46,'KL IV SMT 2'!AC46,'KL V SMT 1'!AC46,'KL V SMT 2'!AC46,'KL VI SMT 1'!AC46,'SMT12'!AC46)/Sat,"")</f>
        <v/>
      </c>
      <c r="N44" s="402" t="str">
        <f>IFERROR(AVERAGE('KL IV SMT 1'!AF46,'KL IV SMT 2'!AF46,'KL V SMT 1'!AF46,'KL V SMT 2'!AF46,'KL VI SMT 1'!AF46,'SMT12'!AF46)/Sat,"")</f>
        <v/>
      </c>
      <c r="O44" s="402" t="str">
        <f>IFERROR(AVERAGE('KL IV SMT 1'!AI46,'KL IV SMT 2'!AI46,'KL V SMT 1'!AI46,'KL V SMT 2'!AI46,'KL VI SMT 1'!AI46,'SMT12'!AI46)/Sat,"")</f>
        <v/>
      </c>
      <c r="P44" s="402" t="str">
        <f>IFERROR(AVERAGE('KL IV SMT 1'!AL46,'KL IV SMT 2'!AL46,'KL V SMT 1'!AL46,'KL V SMT 2'!AL46,'KL VI SMT 1'!AL46,'SMT12'!AL46)/Sat,"")</f>
        <v/>
      </c>
      <c r="Q44" s="403" t="str">
        <f t="shared" si="1"/>
        <v/>
      </c>
      <c r="R44" s="403" t="str">
        <f t="shared" si="4"/>
        <v/>
      </c>
      <c r="S44" s="239" t="str">
        <f t="shared" si="2"/>
        <v/>
      </c>
      <c r="U44" s="35" t="str">
        <f t="shared" si="3"/>
        <v>Kosong</v>
      </c>
    </row>
    <row r="45" spans="2:21">
      <c r="B45" s="236">
        <v>38</v>
      </c>
      <c r="C45" s="236" t="str">
        <f>'Data Siswa'!C41&amp;""</f>
        <v/>
      </c>
      <c r="D45" s="237" t="str">
        <f>'Data Siswa'!F41&amp;""</f>
        <v/>
      </c>
      <c r="E45" s="475"/>
      <c r="F45" s="402" t="str">
        <f>IFERROR(AVERAGE('KL IV SMT 1'!H47,'KL IV SMT 2'!H47,'KL V SMT 1'!H47,'KL V SMT 2'!H47,'KL VI SMT 1'!H47,'SMT12'!H47)/Sat,"")</f>
        <v/>
      </c>
      <c r="G45" s="402" t="str">
        <f>IFERROR(AVERAGE('KL IV SMT 1'!K47,'KL IV SMT 2'!K47,'KL V SMT 1'!K47,'KL V SMT 2'!K47,'KL VI SMT 1'!K47,'SMT12'!K47)/Sat,"")</f>
        <v/>
      </c>
      <c r="H45" s="402" t="str">
        <f>IFERROR(AVERAGE('KL IV SMT 1'!N47,'KL IV SMT 2'!N47,'KL V SMT 1'!N47,'KL V SMT 2'!N47,'KL VI SMT 1'!N47,'SMT12'!N47)/Sat,"")</f>
        <v/>
      </c>
      <c r="I45" s="402" t="str">
        <f>IFERROR(AVERAGE('KL IV SMT 1'!Q47,'KL IV SMT 2'!Q47,'KL V SMT 1'!Q47,'KL V SMT 2'!Q47,'KL VI SMT 1'!Q47,'SMT12'!Q47)/Sat,"")</f>
        <v/>
      </c>
      <c r="J45" s="402" t="str">
        <f>IFERROR(AVERAGE('KL IV SMT 1'!T47,'KL IV SMT 2'!T47,'KL V SMT 1'!T47,'KL V SMT 2'!T47,'KL VI SMT 1'!T47,'SMT12'!T47)/Sat,"")</f>
        <v/>
      </c>
      <c r="K45" s="402" t="str">
        <f>IFERROR(AVERAGE('KL IV SMT 1'!W47,'KL IV SMT 2'!W47,'KL V SMT 1'!W47,'KL V SMT 2'!W47,'KL VI SMT 1'!W47,'SMT12'!W47)/Sat,"")</f>
        <v/>
      </c>
      <c r="L45" s="402" t="str">
        <f>IFERROR(AVERAGE('KL IV SMT 1'!Z47,'KL IV SMT 2'!Z47,'KL V SMT 1'!Z47,'KL V SMT 2'!Z47,'KL VI SMT 1'!Z47,'SMT12'!Z47)/Sat,"")</f>
        <v/>
      </c>
      <c r="M45" s="402" t="str">
        <f>IFERROR(AVERAGE('KL IV SMT 1'!AC47,'KL IV SMT 2'!AC47,'KL V SMT 1'!AC47,'KL V SMT 2'!AC47,'KL VI SMT 1'!AC47,'SMT12'!AC47)/Sat,"")</f>
        <v/>
      </c>
      <c r="N45" s="402" t="str">
        <f>IFERROR(AVERAGE('KL IV SMT 1'!AF47,'KL IV SMT 2'!AF47,'KL V SMT 1'!AF47,'KL V SMT 2'!AF47,'KL VI SMT 1'!AF47,'SMT12'!AF47)/Sat,"")</f>
        <v/>
      </c>
      <c r="O45" s="402" t="str">
        <f>IFERROR(AVERAGE('KL IV SMT 1'!AI47,'KL IV SMT 2'!AI47,'KL V SMT 1'!AI47,'KL V SMT 2'!AI47,'KL VI SMT 1'!AI47,'SMT12'!AI47)/Sat,"")</f>
        <v/>
      </c>
      <c r="P45" s="402" t="str">
        <f>IFERROR(AVERAGE('KL IV SMT 1'!AL47,'KL IV SMT 2'!AL47,'KL V SMT 1'!AL47,'KL V SMT 2'!AL47,'KL VI SMT 1'!AL47,'SMT12'!AL47)/Sat,"")</f>
        <v/>
      </c>
      <c r="Q45" s="403" t="str">
        <f t="shared" si="1"/>
        <v/>
      </c>
      <c r="R45" s="403" t="str">
        <f t="shared" si="4"/>
        <v/>
      </c>
      <c r="S45" s="239" t="str">
        <f t="shared" si="2"/>
        <v/>
      </c>
      <c r="U45" s="35" t="str">
        <f t="shared" si="3"/>
        <v>Kosong</v>
      </c>
    </row>
    <row r="46" spans="2:21">
      <c r="B46" s="236">
        <v>39</v>
      </c>
      <c r="C46" s="236" t="str">
        <f>'Data Siswa'!C42&amp;""</f>
        <v/>
      </c>
      <c r="D46" s="237" t="str">
        <f>'Data Siswa'!F42&amp;""</f>
        <v/>
      </c>
      <c r="E46" s="475"/>
      <c r="F46" s="402" t="str">
        <f>IFERROR(AVERAGE('KL IV SMT 1'!H48,'KL IV SMT 2'!H48,'KL V SMT 1'!H48,'KL V SMT 2'!H48,'KL VI SMT 1'!H48,'SMT12'!H48)/Sat,"")</f>
        <v/>
      </c>
      <c r="G46" s="402" t="str">
        <f>IFERROR(AVERAGE('KL IV SMT 1'!K48,'KL IV SMT 2'!K48,'KL V SMT 1'!K48,'KL V SMT 2'!K48,'KL VI SMT 1'!K48,'SMT12'!K48)/Sat,"")</f>
        <v/>
      </c>
      <c r="H46" s="402" t="str">
        <f>IFERROR(AVERAGE('KL IV SMT 1'!N48,'KL IV SMT 2'!N48,'KL V SMT 1'!N48,'KL V SMT 2'!N48,'KL VI SMT 1'!N48,'SMT12'!N48)/Sat,"")</f>
        <v/>
      </c>
      <c r="I46" s="402" t="str">
        <f>IFERROR(AVERAGE('KL IV SMT 1'!Q48,'KL IV SMT 2'!Q48,'KL V SMT 1'!Q48,'KL V SMT 2'!Q48,'KL VI SMT 1'!Q48,'SMT12'!Q48)/Sat,"")</f>
        <v/>
      </c>
      <c r="J46" s="402" t="str">
        <f>IFERROR(AVERAGE('KL IV SMT 1'!T48,'KL IV SMT 2'!T48,'KL V SMT 1'!T48,'KL V SMT 2'!T48,'KL VI SMT 1'!T48,'SMT12'!T48)/Sat,"")</f>
        <v/>
      </c>
      <c r="K46" s="402" t="str">
        <f>IFERROR(AVERAGE('KL IV SMT 1'!W48,'KL IV SMT 2'!W48,'KL V SMT 1'!W48,'KL V SMT 2'!W48,'KL VI SMT 1'!W48,'SMT12'!W48)/Sat,"")</f>
        <v/>
      </c>
      <c r="L46" s="402" t="str">
        <f>IFERROR(AVERAGE('KL IV SMT 1'!Z48,'KL IV SMT 2'!Z48,'KL V SMT 1'!Z48,'KL V SMT 2'!Z48,'KL VI SMT 1'!Z48,'SMT12'!Z48)/Sat,"")</f>
        <v/>
      </c>
      <c r="M46" s="402" t="str">
        <f>IFERROR(AVERAGE('KL IV SMT 1'!AC48,'KL IV SMT 2'!AC48,'KL V SMT 1'!AC48,'KL V SMT 2'!AC48,'KL VI SMT 1'!AC48,'SMT12'!AC48)/Sat,"")</f>
        <v/>
      </c>
      <c r="N46" s="402" t="str">
        <f>IFERROR(AVERAGE('KL IV SMT 1'!AF48,'KL IV SMT 2'!AF48,'KL V SMT 1'!AF48,'KL V SMT 2'!AF48,'KL VI SMT 1'!AF48,'SMT12'!AF48)/Sat,"")</f>
        <v/>
      </c>
      <c r="O46" s="402" t="str">
        <f>IFERROR(AVERAGE('KL IV SMT 1'!AI48,'KL IV SMT 2'!AI48,'KL V SMT 1'!AI48,'KL V SMT 2'!AI48,'KL VI SMT 1'!AI48,'SMT12'!AI48)/Sat,"")</f>
        <v/>
      </c>
      <c r="P46" s="402" t="str">
        <f>IFERROR(AVERAGE('KL IV SMT 1'!AL48,'KL IV SMT 2'!AL48,'KL V SMT 1'!AL48,'KL V SMT 2'!AL48,'KL VI SMT 1'!AL48,'SMT12'!AL48)/Sat,"")</f>
        <v/>
      </c>
      <c r="Q46" s="403" t="str">
        <f t="shared" si="1"/>
        <v/>
      </c>
      <c r="R46" s="403" t="str">
        <f t="shared" si="4"/>
        <v/>
      </c>
      <c r="S46" s="239" t="str">
        <f t="shared" si="2"/>
        <v/>
      </c>
      <c r="U46" s="35" t="str">
        <f t="shared" si="3"/>
        <v>Kosong</v>
      </c>
    </row>
    <row r="47" spans="2:21">
      <c r="B47" s="236">
        <v>40</v>
      </c>
      <c r="C47" s="236" t="str">
        <f>'Data Siswa'!C43&amp;""</f>
        <v/>
      </c>
      <c r="D47" s="237" t="str">
        <f>'Data Siswa'!F43&amp;""</f>
        <v/>
      </c>
      <c r="E47" s="475"/>
      <c r="F47" s="402" t="str">
        <f>IFERROR(AVERAGE('KL IV SMT 1'!H49,'KL IV SMT 2'!H49,'KL V SMT 1'!H49,'KL V SMT 2'!H49,'KL VI SMT 1'!H49,'SMT12'!H49)/Sat,"")</f>
        <v/>
      </c>
      <c r="G47" s="402" t="str">
        <f>IFERROR(AVERAGE('KL IV SMT 1'!K49,'KL IV SMT 2'!K49,'KL V SMT 1'!K49,'KL V SMT 2'!K49,'KL VI SMT 1'!K49,'SMT12'!K49)/Sat,"")</f>
        <v/>
      </c>
      <c r="H47" s="402" t="str">
        <f>IFERROR(AVERAGE('KL IV SMT 1'!N49,'KL IV SMT 2'!N49,'KL V SMT 1'!N49,'KL V SMT 2'!N49,'KL VI SMT 1'!N49,'SMT12'!N49)/Sat,"")</f>
        <v/>
      </c>
      <c r="I47" s="402" t="str">
        <f>IFERROR(AVERAGE('KL IV SMT 1'!Q49,'KL IV SMT 2'!Q49,'KL V SMT 1'!Q49,'KL V SMT 2'!Q49,'KL VI SMT 1'!Q49,'SMT12'!Q49)/Sat,"")</f>
        <v/>
      </c>
      <c r="J47" s="402" t="str">
        <f>IFERROR(AVERAGE('KL IV SMT 1'!T49,'KL IV SMT 2'!T49,'KL V SMT 1'!T49,'KL V SMT 2'!T49,'KL VI SMT 1'!T49,'SMT12'!T49)/Sat,"")</f>
        <v/>
      </c>
      <c r="K47" s="402" t="str">
        <f>IFERROR(AVERAGE('KL IV SMT 1'!W49,'KL IV SMT 2'!W49,'KL V SMT 1'!W49,'KL V SMT 2'!W49,'KL VI SMT 1'!W49,'SMT12'!W49)/Sat,"")</f>
        <v/>
      </c>
      <c r="L47" s="402" t="str">
        <f>IFERROR(AVERAGE('KL IV SMT 1'!Z49,'KL IV SMT 2'!Z49,'KL V SMT 1'!Z49,'KL V SMT 2'!Z49,'KL VI SMT 1'!Z49,'SMT12'!Z49)/Sat,"")</f>
        <v/>
      </c>
      <c r="M47" s="402" t="str">
        <f>IFERROR(AVERAGE('KL IV SMT 1'!AC49,'KL IV SMT 2'!AC49,'KL V SMT 1'!AC49,'KL V SMT 2'!AC49,'KL VI SMT 1'!AC49,'SMT12'!AC49)/Sat,"")</f>
        <v/>
      </c>
      <c r="N47" s="402" t="str">
        <f>IFERROR(AVERAGE('KL IV SMT 1'!AF49,'KL IV SMT 2'!AF49,'KL V SMT 1'!AF49,'KL V SMT 2'!AF49,'KL VI SMT 1'!AF49,'SMT12'!AF49)/Sat,"")</f>
        <v/>
      </c>
      <c r="O47" s="402" t="str">
        <f>IFERROR(AVERAGE('KL IV SMT 1'!AI49,'KL IV SMT 2'!AI49,'KL V SMT 1'!AI49,'KL V SMT 2'!AI49,'KL VI SMT 1'!AI49,'SMT12'!AI49)/Sat,"")</f>
        <v/>
      </c>
      <c r="P47" s="402" t="str">
        <f>IFERROR(AVERAGE('KL IV SMT 1'!AL49,'KL IV SMT 2'!AL49,'KL V SMT 1'!AL49,'KL V SMT 2'!AL49,'KL VI SMT 1'!AL49,'SMT12'!AL49)/Sat,"")</f>
        <v/>
      </c>
      <c r="Q47" s="403" t="str">
        <f t="shared" si="1"/>
        <v/>
      </c>
      <c r="R47" s="403" t="str">
        <f t="shared" si="4"/>
        <v/>
      </c>
      <c r="S47" s="239" t="str">
        <f t="shared" si="2"/>
        <v/>
      </c>
      <c r="U47" s="35" t="str">
        <f t="shared" si="3"/>
        <v>Kosong</v>
      </c>
    </row>
    <row r="48" spans="2:21">
      <c r="B48" s="236">
        <v>41</v>
      </c>
      <c r="C48" s="236" t="str">
        <f>'Data Siswa'!C44&amp;""</f>
        <v/>
      </c>
      <c r="D48" s="237" t="str">
        <f>'Data Siswa'!F44&amp;""</f>
        <v/>
      </c>
      <c r="E48" s="475"/>
      <c r="F48" s="402" t="str">
        <f>IFERROR(AVERAGE('KL IV SMT 1'!H50,'KL IV SMT 2'!H50,'KL V SMT 1'!H50,'KL V SMT 2'!H50,'KL VI SMT 1'!H50,'SMT12'!H50)/Sat,"")</f>
        <v/>
      </c>
      <c r="G48" s="402" t="str">
        <f>IFERROR(AVERAGE('KL IV SMT 1'!K50,'KL IV SMT 2'!K50,'KL V SMT 1'!K50,'KL V SMT 2'!K50,'KL VI SMT 1'!K50,'SMT12'!K50)/Sat,"")</f>
        <v/>
      </c>
      <c r="H48" s="402" t="str">
        <f>IFERROR(AVERAGE('KL IV SMT 1'!N50,'KL IV SMT 2'!N50,'KL V SMT 1'!N50,'KL V SMT 2'!N50,'KL VI SMT 1'!N50,'SMT12'!N50)/Sat,"")</f>
        <v/>
      </c>
      <c r="I48" s="402" t="str">
        <f>IFERROR(AVERAGE('KL IV SMT 1'!Q50,'KL IV SMT 2'!Q50,'KL V SMT 1'!Q50,'KL V SMT 2'!Q50,'KL VI SMT 1'!Q50,'SMT12'!Q50)/Sat,"")</f>
        <v/>
      </c>
      <c r="J48" s="402" t="str">
        <f>IFERROR(AVERAGE('KL IV SMT 1'!T50,'KL IV SMT 2'!T50,'KL V SMT 1'!T50,'KL V SMT 2'!T50,'KL VI SMT 1'!T50,'SMT12'!T50)/Sat,"")</f>
        <v/>
      </c>
      <c r="K48" s="402" t="str">
        <f>IFERROR(AVERAGE('KL IV SMT 1'!W50,'KL IV SMT 2'!W50,'KL V SMT 1'!W50,'KL V SMT 2'!W50,'KL VI SMT 1'!W50,'SMT12'!W50)/Sat,"")</f>
        <v/>
      </c>
      <c r="L48" s="402" t="str">
        <f>IFERROR(AVERAGE('KL IV SMT 1'!Z50,'KL IV SMT 2'!Z50,'KL V SMT 1'!Z50,'KL V SMT 2'!Z50,'KL VI SMT 1'!Z50,'SMT12'!Z50)/Sat,"")</f>
        <v/>
      </c>
      <c r="M48" s="402" t="str">
        <f>IFERROR(AVERAGE('KL IV SMT 1'!AC50,'KL IV SMT 2'!AC50,'KL V SMT 1'!AC50,'KL V SMT 2'!AC50,'KL VI SMT 1'!AC50,'SMT12'!AC50)/Sat,"")</f>
        <v/>
      </c>
      <c r="N48" s="402" t="str">
        <f>IFERROR(AVERAGE('KL IV SMT 1'!AF50,'KL IV SMT 2'!AF50,'KL V SMT 1'!AF50,'KL V SMT 2'!AF50,'KL VI SMT 1'!AF50,'SMT12'!AF50)/Sat,"")</f>
        <v/>
      </c>
      <c r="O48" s="402" t="str">
        <f>IFERROR(AVERAGE('KL IV SMT 1'!AI50,'KL IV SMT 2'!AI50,'KL V SMT 1'!AI50,'KL V SMT 2'!AI50,'KL VI SMT 1'!AI50,'SMT12'!AI50)/Sat,"")</f>
        <v/>
      </c>
      <c r="P48" s="402" t="str">
        <f>IFERROR(AVERAGE('KL IV SMT 1'!AL50,'KL IV SMT 2'!AL50,'KL V SMT 1'!AL50,'KL V SMT 2'!AL50,'KL VI SMT 1'!AL50,'SMT12'!AL50)/Sat,"")</f>
        <v/>
      </c>
      <c r="Q48" s="403" t="str">
        <f t="shared" si="1"/>
        <v/>
      </c>
      <c r="R48" s="403" t="str">
        <f t="shared" si="4"/>
        <v/>
      </c>
      <c r="S48" s="239" t="str">
        <f t="shared" si="2"/>
        <v/>
      </c>
      <c r="U48" s="35" t="str">
        <f t="shared" si="3"/>
        <v>Kosong</v>
      </c>
    </row>
    <row r="49" spans="2:21">
      <c r="B49" s="236">
        <v>42</v>
      </c>
      <c r="C49" s="236" t="str">
        <f>'Data Siswa'!C45&amp;""</f>
        <v/>
      </c>
      <c r="D49" s="237" t="str">
        <f>'Data Siswa'!F45&amp;""</f>
        <v/>
      </c>
      <c r="E49" s="475"/>
      <c r="F49" s="402" t="str">
        <f>IFERROR(AVERAGE('KL IV SMT 1'!H51,'KL IV SMT 2'!H51,'KL V SMT 1'!H51,'KL V SMT 2'!H51,'KL VI SMT 1'!H51,'SMT12'!H51)/Sat,"")</f>
        <v/>
      </c>
      <c r="G49" s="402" t="str">
        <f>IFERROR(AVERAGE('KL IV SMT 1'!K51,'KL IV SMT 2'!K51,'KL V SMT 1'!K51,'KL V SMT 2'!K51,'KL VI SMT 1'!K51,'SMT12'!K51)/Sat,"")</f>
        <v/>
      </c>
      <c r="H49" s="402" t="str">
        <f>IFERROR(AVERAGE('KL IV SMT 1'!N51,'KL IV SMT 2'!N51,'KL V SMT 1'!N51,'KL V SMT 2'!N51,'KL VI SMT 1'!N51,'SMT12'!N51)/Sat,"")</f>
        <v/>
      </c>
      <c r="I49" s="402" t="str">
        <f>IFERROR(AVERAGE('KL IV SMT 1'!Q51,'KL IV SMT 2'!Q51,'KL V SMT 1'!Q51,'KL V SMT 2'!Q51,'KL VI SMT 1'!Q51,'SMT12'!Q51)/Sat,"")</f>
        <v/>
      </c>
      <c r="J49" s="402" t="str">
        <f>IFERROR(AVERAGE('KL IV SMT 1'!T51,'KL IV SMT 2'!T51,'KL V SMT 1'!T51,'KL V SMT 2'!T51,'KL VI SMT 1'!T51,'SMT12'!T51)/Sat,"")</f>
        <v/>
      </c>
      <c r="K49" s="402" t="str">
        <f>IFERROR(AVERAGE('KL IV SMT 1'!W51,'KL IV SMT 2'!W51,'KL V SMT 1'!W51,'KL V SMT 2'!W51,'KL VI SMT 1'!W51,'SMT12'!W51)/Sat,"")</f>
        <v/>
      </c>
      <c r="L49" s="402" t="str">
        <f>IFERROR(AVERAGE('KL IV SMT 1'!Z51,'KL IV SMT 2'!Z51,'KL V SMT 1'!Z51,'KL V SMT 2'!Z51,'KL VI SMT 1'!Z51,'SMT12'!Z51)/Sat,"")</f>
        <v/>
      </c>
      <c r="M49" s="402" t="str">
        <f>IFERROR(AVERAGE('KL IV SMT 1'!AC51,'KL IV SMT 2'!AC51,'KL V SMT 1'!AC51,'KL V SMT 2'!AC51,'KL VI SMT 1'!AC51,'SMT12'!AC51)/Sat,"")</f>
        <v/>
      </c>
      <c r="N49" s="402" t="str">
        <f>IFERROR(AVERAGE('KL IV SMT 1'!AF51,'KL IV SMT 2'!AF51,'KL V SMT 1'!AF51,'KL V SMT 2'!AF51,'KL VI SMT 1'!AF51,'SMT12'!AF51)/Sat,"")</f>
        <v/>
      </c>
      <c r="O49" s="402" t="str">
        <f>IFERROR(AVERAGE('KL IV SMT 1'!AI51,'KL IV SMT 2'!AI51,'KL V SMT 1'!AI51,'KL V SMT 2'!AI51,'KL VI SMT 1'!AI51,'SMT12'!AI51)/Sat,"")</f>
        <v/>
      </c>
      <c r="P49" s="402" t="str">
        <f>IFERROR(AVERAGE('KL IV SMT 1'!AL51,'KL IV SMT 2'!AL51,'KL V SMT 1'!AL51,'KL V SMT 2'!AL51,'KL VI SMT 1'!AL51,'SMT12'!AL51)/Sat,"")</f>
        <v/>
      </c>
      <c r="Q49" s="403" t="str">
        <f t="shared" si="1"/>
        <v/>
      </c>
      <c r="R49" s="403" t="str">
        <f t="shared" si="4"/>
        <v/>
      </c>
      <c r="S49" s="239" t="str">
        <f t="shared" si="2"/>
        <v/>
      </c>
      <c r="U49" s="35" t="str">
        <f t="shared" si="3"/>
        <v>Kosong</v>
      </c>
    </row>
    <row r="50" spans="2:21">
      <c r="B50" s="236">
        <v>43</v>
      </c>
      <c r="C50" s="236" t="str">
        <f>'Data Siswa'!C46&amp;""</f>
        <v/>
      </c>
      <c r="D50" s="237" t="str">
        <f>'Data Siswa'!F46&amp;""</f>
        <v/>
      </c>
      <c r="E50" s="475"/>
      <c r="F50" s="402" t="str">
        <f>IFERROR(AVERAGE('KL IV SMT 1'!H52,'KL IV SMT 2'!H52,'KL V SMT 1'!H52,'KL V SMT 2'!H52,'KL VI SMT 1'!H52,'SMT12'!H52)/Sat,"")</f>
        <v/>
      </c>
      <c r="G50" s="402" t="str">
        <f>IFERROR(AVERAGE('KL IV SMT 1'!K52,'KL IV SMT 2'!K52,'KL V SMT 1'!K52,'KL V SMT 2'!K52,'KL VI SMT 1'!K52,'SMT12'!K52)/Sat,"")</f>
        <v/>
      </c>
      <c r="H50" s="402" t="str">
        <f>IFERROR(AVERAGE('KL IV SMT 1'!N52,'KL IV SMT 2'!N52,'KL V SMT 1'!N52,'KL V SMT 2'!N52,'KL VI SMT 1'!N52,'SMT12'!N52)/Sat,"")</f>
        <v/>
      </c>
      <c r="I50" s="402" t="str">
        <f>IFERROR(AVERAGE('KL IV SMT 1'!Q52,'KL IV SMT 2'!Q52,'KL V SMT 1'!Q52,'KL V SMT 2'!Q52,'KL VI SMT 1'!Q52,'SMT12'!Q52)/Sat,"")</f>
        <v/>
      </c>
      <c r="J50" s="402" t="str">
        <f>IFERROR(AVERAGE('KL IV SMT 1'!T52,'KL IV SMT 2'!T52,'KL V SMT 1'!T52,'KL V SMT 2'!T52,'KL VI SMT 1'!T52,'SMT12'!T52)/Sat,"")</f>
        <v/>
      </c>
      <c r="K50" s="402" t="str">
        <f>IFERROR(AVERAGE('KL IV SMT 1'!W52,'KL IV SMT 2'!W52,'KL V SMT 1'!W52,'KL V SMT 2'!W52,'KL VI SMT 1'!W52,'SMT12'!W52)/Sat,"")</f>
        <v/>
      </c>
      <c r="L50" s="402" t="str">
        <f>IFERROR(AVERAGE('KL IV SMT 1'!Z52,'KL IV SMT 2'!Z52,'KL V SMT 1'!Z52,'KL V SMT 2'!Z52,'KL VI SMT 1'!Z52,'SMT12'!Z52)/Sat,"")</f>
        <v/>
      </c>
      <c r="M50" s="402" t="str">
        <f>IFERROR(AVERAGE('KL IV SMT 1'!AC52,'KL IV SMT 2'!AC52,'KL V SMT 1'!AC52,'KL V SMT 2'!AC52,'KL VI SMT 1'!AC52,'SMT12'!AC52)/Sat,"")</f>
        <v/>
      </c>
      <c r="N50" s="402" t="str">
        <f>IFERROR(AVERAGE('KL IV SMT 1'!AF52,'KL IV SMT 2'!AF52,'KL V SMT 1'!AF52,'KL V SMT 2'!AF52,'KL VI SMT 1'!AF52,'SMT12'!AF52)/Sat,"")</f>
        <v/>
      </c>
      <c r="O50" s="402" t="str">
        <f>IFERROR(AVERAGE('KL IV SMT 1'!AI52,'KL IV SMT 2'!AI52,'KL V SMT 1'!AI52,'KL V SMT 2'!AI52,'KL VI SMT 1'!AI52,'SMT12'!AI52)/Sat,"")</f>
        <v/>
      </c>
      <c r="P50" s="402" t="str">
        <f>IFERROR(AVERAGE('KL IV SMT 1'!AL52,'KL IV SMT 2'!AL52,'KL V SMT 1'!AL52,'KL V SMT 2'!AL52,'KL VI SMT 1'!AL52,'SMT12'!AL52)/Sat,"")</f>
        <v/>
      </c>
      <c r="Q50" s="403" t="str">
        <f t="shared" si="1"/>
        <v/>
      </c>
      <c r="R50" s="403" t="str">
        <f t="shared" si="4"/>
        <v/>
      </c>
      <c r="S50" s="239" t="str">
        <f t="shared" si="2"/>
        <v/>
      </c>
      <c r="U50" s="35" t="str">
        <f t="shared" si="3"/>
        <v>Kosong</v>
      </c>
    </row>
    <row r="51" spans="2:21">
      <c r="B51" s="236">
        <v>44</v>
      </c>
      <c r="C51" s="236" t="str">
        <f>'Data Siswa'!C47&amp;""</f>
        <v/>
      </c>
      <c r="D51" s="237" t="str">
        <f>'Data Siswa'!F47&amp;""</f>
        <v/>
      </c>
      <c r="E51" s="475"/>
      <c r="F51" s="402" t="str">
        <f>IFERROR(AVERAGE('KL IV SMT 1'!H53,'KL IV SMT 2'!H53,'KL V SMT 1'!H53,'KL V SMT 2'!H53,'KL VI SMT 1'!H53,'SMT12'!H53)/Sat,"")</f>
        <v/>
      </c>
      <c r="G51" s="402" t="str">
        <f>IFERROR(AVERAGE('KL IV SMT 1'!K53,'KL IV SMT 2'!K53,'KL V SMT 1'!K53,'KL V SMT 2'!K53,'KL VI SMT 1'!K53,'SMT12'!K53)/Sat,"")</f>
        <v/>
      </c>
      <c r="H51" s="402" t="str">
        <f>IFERROR(AVERAGE('KL IV SMT 1'!N53,'KL IV SMT 2'!N53,'KL V SMT 1'!N53,'KL V SMT 2'!N53,'KL VI SMT 1'!N53,'SMT12'!N53)/Sat,"")</f>
        <v/>
      </c>
      <c r="I51" s="402" t="str">
        <f>IFERROR(AVERAGE('KL IV SMT 1'!Q53,'KL IV SMT 2'!Q53,'KL V SMT 1'!Q53,'KL V SMT 2'!Q53,'KL VI SMT 1'!Q53,'SMT12'!Q53)/Sat,"")</f>
        <v/>
      </c>
      <c r="J51" s="402" t="str">
        <f>IFERROR(AVERAGE('KL IV SMT 1'!T53,'KL IV SMT 2'!T53,'KL V SMT 1'!T53,'KL V SMT 2'!T53,'KL VI SMT 1'!T53,'SMT12'!T53)/Sat,"")</f>
        <v/>
      </c>
      <c r="K51" s="402" t="str">
        <f>IFERROR(AVERAGE('KL IV SMT 1'!W53,'KL IV SMT 2'!W53,'KL V SMT 1'!W53,'KL V SMT 2'!W53,'KL VI SMT 1'!W53,'SMT12'!W53)/Sat,"")</f>
        <v/>
      </c>
      <c r="L51" s="402" t="str">
        <f>IFERROR(AVERAGE('KL IV SMT 1'!Z53,'KL IV SMT 2'!Z53,'KL V SMT 1'!Z53,'KL V SMT 2'!Z53,'KL VI SMT 1'!Z53,'SMT12'!Z53)/Sat,"")</f>
        <v/>
      </c>
      <c r="M51" s="402" t="str">
        <f>IFERROR(AVERAGE('KL IV SMT 1'!AC53,'KL IV SMT 2'!AC53,'KL V SMT 1'!AC53,'KL V SMT 2'!AC53,'KL VI SMT 1'!AC53,'SMT12'!AC53)/Sat,"")</f>
        <v/>
      </c>
      <c r="N51" s="402" t="str">
        <f>IFERROR(AVERAGE('KL IV SMT 1'!AF53,'KL IV SMT 2'!AF53,'KL V SMT 1'!AF53,'KL V SMT 2'!AF53,'KL VI SMT 1'!AF53,'SMT12'!AF53)/Sat,"")</f>
        <v/>
      </c>
      <c r="O51" s="402" t="str">
        <f>IFERROR(AVERAGE('KL IV SMT 1'!AI53,'KL IV SMT 2'!AI53,'KL V SMT 1'!AI53,'KL V SMT 2'!AI53,'KL VI SMT 1'!AI53,'SMT12'!AI53)/Sat,"")</f>
        <v/>
      </c>
      <c r="P51" s="402" t="str">
        <f>IFERROR(AVERAGE('KL IV SMT 1'!AL53,'KL IV SMT 2'!AL53,'KL V SMT 1'!AL53,'KL V SMT 2'!AL53,'KL VI SMT 1'!AL53,'SMT12'!AL53)/Sat,"")</f>
        <v/>
      </c>
      <c r="Q51" s="403" t="str">
        <f t="shared" si="1"/>
        <v/>
      </c>
      <c r="R51" s="403" t="str">
        <f t="shared" si="4"/>
        <v/>
      </c>
      <c r="S51" s="239" t="str">
        <f t="shared" si="2"/>
        <v/>
      </c>
      <c r="U51" s="35" t="str">
        <f t="shared" si="3"/>
        <v>Kosong</v>
      </c>
    </row>
    <row r="52" spans="2:21">
      <c r="B52" s="236">
        <v>45</v>
      </c>
      <c r="C52" s="236" t="str">
        <f>'Data Siswa'!C48&amp;""</f>
        <v/>
      </c>
      <c r="D52" s="237" t="str">
        <f>'Data Siswa'!F48&amp;""</f>
        <v/>
      </c>
      <c r="E52" s="475"/>
      <c r="F52" s="402" t="str">
        <f>IFERROR(AVERAGE('KL IV SMT 1'!H54,'KL IV SMT 2'!H54,'KL V SMT 1'!H54,'KL V SMT 2'!H54,'KL VI SMT 1'!H54,'SMT12'!H54)/Sat,"")</f>
        <v/>
      </c>
      <c r="G52" s="402" t="str">
        <f>IFERROR(AVERAGE('KL IV SMT 1'!K54,'KL IV SMT 2'!K54,'KL V SMT 1'!K54,'KL V SMT 2'!K54,'KL VI SMT 1'!K54,'SMT12'!K54)/Sat,"")</f>
        <v/>
      </c>
      <c r="H52" s="402" t="str">
        <f>IFERROR(AVERAGE('KL IV SMT 1'!N54,'KL IV SMT 2'!N54,'KL V SMT 1'!N54,'KL V SMT 2'!N54,'KL VI SMT 1'!N54,'SMT12'!N54)/Sat,"")</f>
        <v/>
      </c>
      <c r="I52" s="402" t="str">
        <f>IFERROR(AVERAGE('KL IV SMT 1'!Q54,'KL IV SMT 2'!Q54,'KL V SMT 1'!Q54,'KL V SMT 2'!Q54,'KL VI SMT 1'!Q54,'SMT12'!Q54)/Sat,"")</f>
        <v/>
      </c>
      <c r="J52" s="402" t="str">
        <f>IFERROR(AVERAGE('KL IV SMT 1'!T54,'KL IV SMT 2'!T54,'KL V SMT 1'!T54,'KL V SMT 2'!T54,'KL VI SMT 1'!T54,'SMT12'!T54)/Sat,"")</f>
        <v/>
      </c>
      <c r="K52" s="402" t="str">
        <f>IFERROR(AVERAGE('KL IV SMT 1'!W54,'KL IV SMT 2'!W54,'KL V SMT 1'!W54,'KL V SMT 2'!W54,'KL VI SMT 1'!W54,'SMT12'!W54)/Sat,"")</f>
        <v/>
      </c>
      <c r="L52" s="402" t="str">
        <f>IFERROR(AVERAGE('KL IV SMT 1'!Z54,'KL IV SMT 2'!Z54,'KL V SMT 1'!Z54,'KL V SMT 2'!Z54,'KL VI SMT 1'!Z54,'SMT12'!Z54)/Sat,"")</f>
        <v/>
      </c>
      <c r="M52" s="402" t="str">
        <f>IFERROR(AVERAGE('KL IV SMT 1'!AC54,'KL IV SMT 2'!AC54,'KL V SMT 1'!AC54,'KL V SMT 2'!AC54,'KL VI SMT 1'!AC54,'SMT12'!AC54)/Sat,"")</f>
        <v/>
      </c>
      <c r="N52" s="402" t="str">
        <f>IFERROR(AVERAGE('KL IV SMT 1'!AF54,'KL IV SMT 2'!AF54,'KL V SMT 1'!AF54,'KL V SMT 2'!AF54,'KL VI SMT 1'!AF54,'SMT12'!AF54)/Sat,"")</f>
        <v/>
      </c>
      <c r="O52" s="402" t="str">
        <f>IFERROR(AVERAGE('KL IV SMT 1'!AI54,'KL IV SMT 2'!AI54,'KL V SMT 1'!AI54,'KL V SMT 2'!AI54,'KL VI SMT 1'!AI54,'SMT12'!AI54)/Sat,"")</f>
        <v/>
      </c>
      <c r="P52" s="402" t="str">
        <f>IFERROR(AVERAGE('KL IV SMT 1'!AL54,'KL IV SMT 2'!AL54,'KL V SMT 1'!AL54,'KL V SMT 2'!AL54,'KL VI SMT 1'!AL54,'SMT12'!AL54)/Sat,"")</f>
        <v/>
      </c>
      <c r="Q52" s="403" t="str">
        <f t="shared" si="1"/>
        <v/>
      </c>
      <c r="R52" s="403" t="str">
        <f t="shared" si="4"/>
        <v/>
      </c>
      <c r="S52" s="239" t="str">
        <f t="shared" si="2"/>
        <v/>
      </c>
      <c r="U52" s="35" t="str">
        <f t="shared" si="3"/>
        <v>Kosong</v>
      </c>
    </row>
    <row r="53" spans="2:21">
      <c r="B53" s="236">
        <v>46</v>
      </c>
      <c r="C53" s="236" t="str">
        <f>'Data Siswa'!C49&amp;""</f>
        <v/>
      </c>
      <c r="D53" s="237" t="str">
        <f>'Data Siswa'!F49&amp;""</f>
        <v/>
      </c>
      <c r="E53" s="475"/>
      <c r="F53" s="402" t="str">
        <f>IFERROR(AVERAGE('KL IV SMT 1'!H55,'KL IV SMT 2'!H55,'KL V SMT 1'!H55,'KL V SMT 2'!H55,'KL VI SMT 1'!H55,'SMT12'!H55)/Sat,"")</f>
        <v/>
      </c>
      <c r="G53" s="402" t="str">
        <f>IFERROR(AVERAGE('KL IV SMT 1'!K55,'KL IV SMT 2'!K55,'KL V SMT 1'!K55,'KL V SMT 2'!K55,'KL VI SMT 1'!K55,'SMT12'!K55)/Sat,"")</f>
        <v/>
      </c>
      <c r="H53" s="402" t="str">
        <f>IFERROR(AVERAGE('KL IV SMT 1'!N55,'KL IV SMT 2'!N55,'KL V SMT 1'!N55,'KL V SMT 2'!N55,'KL VI SMT 1'!N55,'SMT12'!N55)/Sat,"")</f>
        <v/>
      </c>
      <c r="I53" s="402" t="str">
        <f>IFERROR(AVERAGE('KL IV SMT 1'!Q55,'KL IV SMT 2'!Q55,'KL V SMT 1'!Q55,'KL V SMT 2'!Q55,'KL VI SMT 1'!Q55,'SMT12'!Q55)/Sat,"")</f>
        <v/>
      </c>
      <c r="J53" s="402" t="str">
        <f>IFERROR(AVERAGE('KL IV SMT 1'!T55,'KL IV SMT 2'!T55,'KL V SMT 1'!T55,'KL V SMT 2'!T55,'KL VI SMT 1'!T55,'SMT12'!T55)/Sat,"")</f>
        <v/>
      </c>
      <c r="K53" s="402" t="str">
        <f>IFERROR(AVERAGE('KL IV SMT 1'!W55,'KL IV SMT 2'!W55,'KL V SMT 1'!W55,'KL V SMT 2'!W55,'KL VI SMT 1'!W55,'SMT12'!W55)/Sat,"")</f>
        <v/>
      </c>
      <c r="L53" s="402" t="str">
        <f>IFERROR(AVERAGE('KL IV SMT 1'!Z55,'KL IV SMT 2'!Z55,'KL V SMT 1'!Z55,'KL V SMT 2'!Z55,'KL VI SMT 1'!Z55,'SMT12'!Z55)/Sat,"")</f>
        <v/>
      </c>
      <c r="M53" s="402" t="str">
        <f>IFERROR(AVERAGE('KL IV SMT 1'!AC55,'KL IV SMT 2'!AC55,'KL V SMT 1'!AC55,'KL V SMT 2'!AC55,'KL VI SMT 1'!AC55,'SMT12'!AC55)/Sat,"")</f>
        <v/>
      </c>
      <c r="N53" s="402" t="str">
        <f>IFERROR(AVERAGE('KL IV SMT 1'!AF55,'KL IV SMT 2'!AF55,'KL V SMT 1'!AF55,'KL V SMT 2'!AF55,'KL VI SMT 1'!AF55,'SMT12'!AF55)/Sat,"")</f>
        <v/>
      </c>
      <c r="O53" s="402" t="str">
        <f>IFERROR(AVERAGE('KL IV SMT 1'!AI55,'KL IV SMT 2'!AI55,'KL V SMT 1'!AI55,'KL V SMT 2'!AI55,'KL VI SMT 1'!AI55,'SMT12'!AI55)/Sat,"")</f>
        <v/>
      </c>
      <c r="P53" s="402" t="str">
        <f>IFERROR(AVERAGE('KL IV SMT 1'!AL55,'KL IV SMT 2'!AL55,'KL V SMT 1'!AL55,'KL V SMT 2'!AL55,'KL VI SMT 1'!AL55,'SMT12'!AL55)/Sat,"")</f>
        <v/>
      </c>
      <c r="Q53" s="403" t="str">
        <f t="shared" si="1"/>
        <v/>
      </c>
      <c r="R53" s="403" t="str">
        <f t="shared" si="4"/>
        <v/>
      </c>
      <c r="S53" s="239" t="str">
        <f t="shared" si="2"/>
        <v/>
      </c>
      <c r="U53" s="35" t="str">
        <f t="shared" si="3"/>
        <v>Kosong</v>
      </c>
    </row>
    <row r="54" spans="2:21">
      <c r="B54" s="236">
        <v>47</v>
      </c>
      <c r="C54" s="236" t="str">
        <f>'Data Siswa'!C50&amp;""</f>
        <v/>
      </c>
      <c r="D54" s="237" t="str">
        <f>'Data Siswa'!F50&amp;""</f>
        <v/>
      </c>
      <c r="E54" s="475"/>
      <c r="F54" s="402" t="str">
        <f>IFERROR(AVERAGE('KL IV SMT 1'!H56,'KL IV SMT 2'!H56,'KL V SMT 1'!H56,'KL V SMT 2'!H56,'KL VI SMT 1'!H56,'SMT12'!H56)/Sat,"")</f>
        <v/>
      </c>
      <c r="G54" s="402" t="str">
        <f>IFERROR(AVERAGE('KL IV SMT 1'!K56,'KL IV SMT 2'!K56,'KL V SMT 1'!K56,'KL V SMT 2'!K56,'KL VI SMT 1'!K56,'SMT12'!K56)/Sat,"")</f>
        <v/>
      </c>
      <c r="H54" s="402" t="str">
        <f>IFERROR(AVERAGE('KL IV SMT 1'!N56,'KL IV SMT 2'!N56,'KL V SMT 1'!N56,'KL V SMT 2'!N56,'KL VI SMT 1'!N56,'SMT12'!N56)/Sat,"")</f>
        <v/>
      </c>
      <c r="I54" s="402" t="str">
        <f>IFERROR(AVERAGE('KL IV SMT 1'!Q56,'KL IV SMT 2'!Q56,'KL V SMT 1'!Q56,'KL V SMT 2'!Q56,'KL VI SMT 1'!Q56,'SMT12'!Q56)/Sat,"")</f>
        <v/>
      </c>
      <c r="J54" s="402" t="str">
        <f>IFERROR(AVERAGE('KL IV SMT 1'!T56,'KL IV SMT 2'!T56,'KL V SMT 1'!T56,'KL V SMT 2'!T56,'KL VI SMT 1'!T56,'SMT12'!T56)/Sat,"")</f>
        <v/>
      </c>
      <c r="K54" s="402" t="str">
        <f>IFERROR(AVERAGE('KL IV SMT 1'!W56,'KL IV SMT 2'!W56,'KL V SMT 1'!W56,'KL V SMT 2'!W56,'KL VI SMT 1'!W56,'SMT12'!W56)/Sat,"")</f>
        <v/>
      </c>
      <c r="L54" s="402" t="str">
        <f>IFERROR(AVERAGE('KL IV SMT 1'!Z56,'KL IV SMT 2'!Z56,'KL V SMT 1'!Z56,'KL V SMT 2'!Z56,'KL VI SMT 1'!Z56,'SMT12'!Z56)/Sat,"")</f>
        <v/>
      </c>
      <c r="M54" s="402" t="str">
        <f>IFERROR(AVERAGE('KL IV SMT 1'!AC56,'KL IV SMT 2'!AC56,'KL V SMT 1'!AC56,'KL V SMT 2'!AC56,'KL VI SMT 1'!AC56,'SMT12'!AC56)/Sat,"")</f>
        <v/>
      </c>
      <c r="N54" s="402" t="str">
        <f>IFERROR(AVERAGE('KL IV SMT 1'!AF56,'KL IV SMT 2'!AF56,'KL V SMT 1'!AF56,'KL V SMT 2'!AF56,'KL VI SMT 1'!AF56,'SMT12'!AF56)/Sat,"")</f>
        <v/>
      </c>
      <c r="O54" s="402" t="str">
        <f>IFERROR(AVERAGE('KL IV SMT 1'!AI56,'KL IV SMT 2'!AI56,'KL V SMT 1'!AI56,'KL V SMT 2'!AI56,'KL VI SMT 1'!AI56,'SMT12'!AI56)/Sat,"")</f>
        <v/>
      </c>
      <c r="P54" s="402" t="str">
        <f>IFERROR(AVERAGE('KL IV SMT 1'!AL56,'KL IV SMT 2'!AL56,'KL V SMT 1'!AL56,'KL V SMT 2'!AL56,'KL VI SMT 1'!AL56,'SMT12'!AL56)/Sat,"")</f>
        <v/>
      </c>
      <c r="Q54" s="403" t="str">
        <f t="shared" si="1"/>
        <v/>
      </c>
      <c r="R54" s="403" t="str">
        <f t="shared" si="4"/>
        <v/>
      </c>
      <c r="S54" s="239" t="str">
        <f t="shared" si="2"/>
        <v/>
      </c>
      <c r="U54" s="35" t="str">
        <f t="shared" si="3"/>
        <v>Kosong</v>
      </c>
    </row>
    <row r="55" spans="2:21">
      <c r="B55" s="236">
        <v>48</v>
      </c>
      <c r="C55" s="236" t="str">
        <f>'Data Siswa'!C51&amp;""</f>
        <v/>
      </c>
      <c r="D55" s="237" t="str">
        <f>'Data Siswa'!F51&amp;""</f>
        <v/>
      </c>
      <c r="E55" s="475"/>
      <c r="F55" s="402" t="str">
        <f>IFERROR(AVERAGE('KL IV SMT 1'!H57,'KL IV SMT 2'!H57,'KL V SMT 1'!H57,'KL V SMT 2'!H57,'KL VI SMT 1'!H57,'SMT12'!H57)/Sat,"")</f>
        <v/>
      </c>
      <c r="G55" s="402" t="str">
        <f>IFERROR(AVERAGE('KL IV SMT 1'!K57,'KL IV SMT 2'!K57,'KL V SMT 1'!K57,'KL V SMT 2'!K57,'KL VI SMT 1'!K57,'SMT12'!K57)/Sat,"")</f>
        <v/>
      </c>
      <c r="H55" s="402" t="str">
        <f>IFERROR(AVERAGE('KL IV SMT 1'!N57,'KL IV SMT 2'!N57,'KL V SMT 1'!N57,'KL V SMT 2'!N57,'KL VI SMT 1'!N57,'SMT12'!N57)/Sat,"")</f>
        <v/>
      </c>
      <c r="I55" s="402" t="str">
        <f>IFERROR(AVERAGE('KL IV SMT 1'!Q57,'KL IV SMT 2'!Q57,'KL V SMT 1'!Q57,'KL V SMT 2'!Q57,'KL VI SMT 1'!Q57,'SMT12'!Q57)/Sat,"")</f>
        <v/>
      </c>
      <c r="J55" s="402" t="str">
        <f>IFERROR(AVERAGE('KL IV SMT 1'!T57,'KL IV SMT 2'!T57,'KL V SMT 1'!T57,'KL V SMT 2'!T57,'KL VI SMT 1'!T57,'SMT12'!T57)/Sat,"")</f>
        <v/>
      </c>
      <c r="K55" s="402" t="str">
        <f>IFERROR(AVERAGE('KL IV SMT 1'!W57,'KL IV SMT 2'!W57,'KL V SMT 1'!W57,'KL V SMT 2'!W57,'KL VI SMT 1'!W57,'SMT12'!W57)/Sat,"")</f>
        <v/>
      </c>
      <c r="L55" s="402" t="str">
        <f>IFERROR(AVERAGE('KL IV SMT 1'!Z57,'KL IV SMT 2'!Z57,'KL V SMT 1'!Z57,'KL V SMT 2'!Z57,'KL VI SMT 1'!Z57,'SMT12'!Z57)/Sat,"")</f>
        <v/>
      </c>
      <c r="M55" s="402" t="str">
        <f>IFERROR(AVERAGE('KL IV SMT 1'!AC57,'KL IV SMT 2'!AC57,'KL V SMT 1'!AC57,'KL V SMT 2'!AC57,'KL VI SMT 1'!AC57,'SMT12'!AC57)/Sat,"")</f>
        <v/>
      </c>
      <c r="N55" s="402" t="str">
        <f>IFERROR(AVERAGE('KL IV SMT 1'!AF57,'KL IV SMT 2'!AF57,'KL V SMT 1'!AF57,'KL V SMT 2'!AF57,'KL VI SMT 1'!AF57,'SMT12'!AF57)/Sat,"")</f>
        <v/>
      </c>
      <c r="O55" s="402" t="str">
        <f>IFERROR(AVERAGE('KL IV SMT 1'!AI57,'KL IV SMT 2'!AI57,'KL V SMT 1'!AI57,'KL V SMT 2'!AI57,'KL VI SMT 1'!AI57,'SMT12'!AI57)/Sat,"")</f>
        <v/>
      </c>
      <c r="P55" s="402" t="str">
        <f>IFERROR(AVERAGE('KL IV SMT 1'!AL57,'KL IV SMT 2'!AL57,'KL V SMT 1'!AL57,'KL V SMT 2'!AL57,'KL VI SMT 1'!AL57,'SMT12'!AL57)/Sat,"")</f>
        <v/>
      </c>
      <c r="Q55" s="403" t="str">
        <f t="shared" si="1"/>
        <v/>
      </c>
      <c r="R55" s="403" t="str">
        <f t="shared" si="4"/>
        <v/>
      </c>
      <c r="S55" s="239" t="str">
        <f t="shared" si="2"/>
        <v/>
      </c>
      <c r="U55" s="35" t="str">
        <f t="shared" si="3"/>
        <v>Kosong</v>
      </c>
    </row>
    <row r="56" spans="2:21">
      <c r="B56" s="236">
        <v>49</v>
      </c>
      <c r="C56" s="236" t="str">
        <f>'Data Siswa'!C52&amp;""</f>
        <v/>
      </c>
      <c r="D56" s="237" t="str">
        <f>'Data Siswa'!F52&amp;""</f>
        <v/>
      </c>
      <c r="E56" s="475"/>
      <c r="F56" s="402" t="str">
        <f>IFERROR(AVERAGE('KL IV SMT 1'!H58,'KL IV SMT 2'!H58,'KL V SMT 1'!H58,'KL V SMT 2'!H58,'KL VI SMT 1'!H58,'SMT12'!H58)/Sat,"")</f>
        <v/>
      </c>
      <c r="G56" s="402" t="str">
        <f>IFERROR(AVERAGE('KL IV SMT 1'!K58,'KL IV SMT 2'!K58,'KL V SMT 1'!K58,'KL V SMT 2'!K58,'KL VI SMT 1'!K58,'SMT12'!K58)/Sat,"")</f>
        <v/>
      </c>
      <c r="H56" s="402" t="str">
        <f>IFERROR(AVERAGE('KL IV SMT 1'!N58,'KL IV SMT 2'!N58,'KL V SMT 1'!N58,'KL V SMT 2'!N58,'KL VI SMT 1'!N58,'SMT12'!N58)/Sat,"")</f>
        <v/>
      </c>
      <c r="I56" s="402" t="str">
        <f>IFERROR(AVERAGE('KL IV SMT 1'!Q58,'KL IV SMT 2'!Q58,'KL V SMT 1'!Q58,'KL V SMT 2'!Q58,'KL VI SMT 1'!Q58,'SMT12'!Q58)/Sat,"")</f>
        <v/>
      </c>
      <c r="J56" s="402" t="str">
        <f>IFERROR(AVERAGE('KL IV SMT 1'!T58,'KL IV SMT 2'!T58,'KL V SMT 1'!T58,'KL V SMT 2'!T58,'KL VI SMT 1'!T58,'SMT12'!T58)/Sat,"")</f>
        <v/>
      </c>
      <c r="K56" s="402" t="str">
        <f>IFERROR(AVERAGE('KL IV SMT 1'!W58,'KL IV SMT 2'!W58,'KL V SMT 1'!W58,'KL V SMT 2'!W58,'KL VI SMT 1'!W58,'SMT12'!W58)/Sat,"")</f>
        <v/>
      </c>
      <c r="L56" s="402" t="str">
        <f>IFERROR(AVERAGE('KL IV SMT 1'!Z58,'KL IV SMT 2'!Z58,'KL V SMT 1'!Z58,'KL V SMT 2'!Z58,'KL VI SMT 1'!Z58,'SMT12'!Z58)/Sat,"")</f>
        <v/>
      </c>
      <c r="M56" s="402" t="str">
        <f>IFERROR(AVERAGE('KL IV SMT 1'!AC58,'KL IV SMT 2'!AC58,'KL V SMT 1'!AC58,'KL V SMT 2'!AC58,'KL VI SMT 1'!AC58,'SMT12'!AC58)/Sat,"")</f>
        <v/>
      </c>
      <c r="N56" s="402" t="str">
        <f>IFERROR(AVERAGE('KL IV SMT 1'!AF58,'KL IV SMT 2'!AF58,'KL V SMT 1'!AF58,'KL V SMT 2'!AF58,'KL VI SMT 1'!AF58,'SMT12'!AF58)/Sat,"")</f>
        <v/>
      </c>
      <c r="O56" s="402" t="str">
        <f>IFERROR(AVERAGE('KL IV SMT 1'!AI58,'KL IV SMT 2'!AI58,'KL V SMT 1'!AI58,'KL V SMT 2'!AI58,'KL VI SMT 1'!AI58,'SMT12'!AI58)/Sat,"")</f>
        <v/>
      </c>
      <c r="P56" s="402" t="str">
        <f>IFERROR(AVERAGE('KL IV SMT 1'!AL58,'KL IV SMT 2'!AL58,'KL V SMT 1'!AL58,'KL V SMT 2'!AL58,'KL VI SMT 1'!AL58,'SMT12'!AL58)/Sat,"")</f>
        <v/>
      </c>
      <c r="Q56" s="403" t="str">
        <f t="shared" si="1"/>
        <v/>
      </c>
      <c r="R56" s="403" t="str">
        <f t="shared" si="4"/>
        <v/>
      </c>
      <c r="S56" s="239" t="str">
        <f t="shared" si="2"/>
        <v/>
      </c>
      <c r="U56" s="35" t="str">
        <f t="shared" si="3"/>
        <v>Kosong</v>
      </c>
    </row>
    <row r="57" spans="2:21">
      <c r="B57" s="236">
        <v>50</v>
      </c>
      <c r="C57" s="236" t="str">
        <f>'Data Siswa'!C53&amp;""</f>
        <v/>
      </c>
      <c r="D57" s="237" t="str">
        <f>'Data Siswa'!F53&amp;""</f>
        <v/>
      </c>
      <c r="E57" s="476"/>
      <c r="F57" s="402" t="str">
        <f>IFERROR(AVERAGE('KL IV SMT 1'!H59,'KL IV SMT 2'!H59,'KL V SMT 1'!H59,'KL V SMT 2'!H59,'KL VI SMT 1'!H59,'SMT12'!H59)/Sat,"")</f>
        <v/>
      </c>
      <c r="G57" s="402" t="str">
        <f>IFERROR(AVERAGE('KL IV SMT 1'!K59,'KL IV SMT 2'!K59,'KL V SMT 1'!K59,'KL V SMT 2'!K59,'KL VI SMT 1'!K59,'SMT12'!K59)/Sat,"")</f>
        <v/>
      </c>
      <c r="H57" s="402" t="str">
        <f>IFERROR(AVERAGE('KL IV SMT 1'!N59,'KL IV SMT 2'!N59,'KL V SMT 1'!N59,'KL V SMT 2'!N59,'KL VI SMT 1'!N59,'SMT12'!N59)/Sat,"")</f>
        <v/>
      </c>
      <c r="I57" s="402" t="str">
        <f>IFERROR(AVERAGE('KL IV SMT 1'!Q59,'KL IV SMT 2'!Q59,'KL V SMT 1'!Q59,'KL V SMT 2'!Q59,'KL VI SMT 1'!Q59,'SMT12'!Q59)/Sat,"")</f>
        <v/>
      </c>
      <c r="J57" s="402" t="str">
        <f>IFERROR(AVERAGE('KL IV SMT 1'!T59,'KL IV SMT 2'!T59,'KL V SMT 1'!T59,'KL V SMT 2'!T59,'KL VI SMT 1'!T59,'SMT12'!T59)/Sat,"")</f>
        <v/>
      </c>
      <c r="K57" s="402" t="str">
        <f>IFERROR(AVERAGE('KL IV SMT 1'!W59,'KL IV SMT 2'!W59,'KL V SMT 1'!W59,'KL V SMT 2'!W59,'KL VI SMT 1'!W59,'SMT12'!W59)/Sat,"")</f>
        <v/>
      </c>
      <c r="L57" s="402" t="str">
        <f>IFERROR(AVERAGE('KL IV SMT 1'!Z59,'KL IV SMT 2'!Z59,'KL V SMT 1'!Z59,'KL V SMT 2'!Z59,'KL VI SMT 1'!Z59,'SMT12'!Z59)/Sat,"")</f>
        <v/>
      </c>
      <c r="M57" s="402" t="str">
        <f>IFERROR(AVERAGE('KL IV SMT 1'!AC59,'KL IV SMT 2'!AC59,'KL V SMT 1'!AC59,'KL V SMT 2'!AC59,'KL VI SMT 1'!AC59,'SMT12'!AC59)/Sat,"")</f>
        <v/>
      </c>
      <c r="N57" s="402" t="str">
        <f>IFERROR(AVERAGE('KL IV SMT 1'!AF59,'KL IV SMT 2'!AF59,'KL V SMT 1'!AF59,'KL V SMT 2'!AF59,'KL VI SMT 1'!AF59,'SMT12'!AF59)/Sat,"")</f>
        <v/>
      </c>
      <c r="O57" s="402" t="str">
        <f>IFERROR(AVERAGE('KL IV SMT 1'!AI59,'KL IV SMT 2'!AI59,'KL V SMT 1'!AI59,'KL V SMT 2'!AI59,'KL VI SMT 1'!AI59,'SMT12'!AI59)/Sat,"")</f>
        <v/>
      </c>
      <c r="P57" s="402" t="str">
        <f>IFERROR(AVERAGE('KL IV SMT 1'!AL59,'KL IV SMT 2'!AL59,'KL V SMT 1'!AL59,'KL V SMT 2'!AL59,'KL VI SMT 1'!AL59,'SMT12'!AL59)/Sat,"")</f>
        <v/>
      </c>
      <c r="Q57" s="403" t="str">
        <f t="shared" si="1"/>
        <v/>
      </c>
      <c r="R57" s="403" t="str">
        <f t="shared" si="4"/>
        <v/>
      </c>
      <c r="S57" s="239" t="str">
        <f t="shared" si="2"/>
        <v/>
      </c>
      <c r="U57" s="35" t="str">
        <f t="shared" si="3"/>
        <v>Kosong</v>
      </c>
    </row>
    <row r="59" spans="2:21" ht="29.15" customHeight="1">
      <c r="N59" s="383" t="str">
        <f>Kabupaten&amp;", "&amp;TEXT(Tanggal,"DD MMMM YYYY")</f>
        <v>Wonogiri, 15 Juni 2022</v>
      </c>
    </row>
    <row r="60" spans="2:21">
      <c r="N60" s="1" t="str">
        <f>UPPER("Kepala"&amp;" "&amp;Nama_Sekolah)</f>
        <v>KEPALA SEKOLAH DASAR NEGERI 1 GIRIHARJO</v>
      </c>
    </row>
    <row r="61" spans="2:21">
      <c r="N61" s="1" t="str">
        <f>UPPER(Kab_Kota&amp;" "&amp;Kabupaten&amp;",")</f>
        <v>KABUPATEN WONOGIRI,</v>
      </c>
    </row>
    <row r="64" spans="2:21">
      <c r="N64" s="37">
        <f>Kepsek</f>
        <v>0</v>
      </c>
    </row>
    <row r="65" spans="2:14">
      <c r="N65" s="1">
        <f>Pangkat_gol</f>
        <v>0</v>
      </c>
    </row>
    <row r="66" spans="2:14">
      <c r="N66" s="36">
        <f>NIP_Kepsek</f>
        <v>0</v>
      </c>
    </row>
    <row r="69" spans="2:14">
      <c r="B69" s="192" t="s">
        <v>134</v>
      </c>
    </row>
  </sheetData>
  <sheetProtection password="CC5B" sheet="1" objects="1" scenarios="1" formatCells="0" formatColumns="0" autoFilter="0"/>
  <autoFilter ref="U7:U57"/>
  <mergeCells count="2">
    <mergeCell ref="E8:E57"/>
    <mergeCell ref="B1:R1"/>
  </mergeCells>
  <dataValidations count="1">
    <dataValidation type="decimal" allowBlank="1" showInputMessage="1" showErrorMessage="1" error="LIHAT PENGATURAN NILAI !" sqref="F8:N57">
      <formula1>$Z$10</formula1>
      <formula2>$Z$11</formula2>
    </dataValidation>
  </dataValidations>
  <pageMargins left="0.51181102362204722" right="0.31496062992125984" top="0.74803149606299213" bottom="0.35433070866141736" header="0.31496062992125984" footer="0.31496062992125984"/>
  <pageSetup paperSize="141" scale="8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71</vt:i4>
      </vt:variant>
    </vt:vector>
  </HeadingPairs>
  <TitlesOfParts>
    <vt:vector size="92" baseType="lpstr">
      <vt:lpstr>PENGATURAN</vt:lpstr>
      <vt:lpstr>Data Siswa</vt:lpstr>
      <vt:lpstr>KL IV SMT 1</vt:lpstr>
      <vt:lpstr>KL IV SMT 2</vt:lpstr>
      <vt:lpstr>KL V SMT 1</vt:lpstr>
      <vt:lpstr>KL V SMT 2</vt:lpstr>
      <vt:lpstr>KL VI SMT 1</vt:lpstr>
      <vt:lpstr>SMT12</vt:lpstr>
      <vt:lpstr>REKAP RAPOR</vt:lpstr>
      <vt:lpstr>KIRIM DINAS-PPDB</vt:lpstr>
      <vt:lpstr>SUKET RAPOR</vt:lpstr>
      <vt:lpstr>USD</vt:lpstr>
      <vt:lpstr>NA IJAZAH</vt:lpstr>
      <vt:lpstr>SURAT LULUS</vt:lpstr>
      <vt:lpstr>IJAZAH NILAI</vt:lpstr>
      <vt:lpstr>IJAZAH</vt:lpstr>
      <vt:lpstr>RENTANG</vt:lpstr>
      <vt:lpstr>TTD TRD</vt:lpstr>
      <vt:lpstr>PRILAKU</vt:lpstr>
      <vt:lpstr>L KILAT</vt:lpstr>
      <vt:lpstr>LOG</vt:lpstr>
      <vt:lpstr>Alamat_Lengkap</vt:lpstr>
      <vt:lpstr>BI_Gabung</vt:lpstr>
      <vt:lpstr>BI_Teori</vt:lpstr>
      <vt:lpstr>Data_siswa</vt:lpstr>
      <vt:lpstr>Digit</vt:lpstr>
      <vt:lpstr>Digit_rata_rapor</vt:lpstr>
      <vt:lpstr>Email</vt:lpstr>
      <vt:lpstr>IPA_Gabung</vt:lpstr>
      <vt:lpstr>IPA_Teori</vt:lpstr>
      <vt:lpstr>Jenjang</vt:lpstr>
      <vt:lpstr>Kab_Kota</vt:lpstr>
      <vt:lpstr>Kabupaten</vt:lpstr>
      <vt:lpstr>Kecamatan</vt:lpstr>
      <vt:lpstr>Kel_Desa</vt:lpstr>
      <vt:lpstr>Kelurahan</vt:lpstr>
      <vt:lpstr>Kepsek</vt:lpstr>
      <vt:lpstr>kode_pos</vt:lpstr>
      <vt:lpstr>LULUS</vt:lpstr>
      <vt:lpstr>MAT_Teori</vt:lpstr>
      <vt:lpstr>Nama_Dinas</vt:lpstr>
      <vt:lpstr>Nama_Kepsek</vt:lpstr>
      <vt:lpstr>Nama_Sekolah</vt:lpstr>
      <vt:lpstr>Nama_Sekolah_KOP</vt:lpstr>
      <vt:lpstr>Nama_sekolah1</vt:lpstr>
      <vt:lpstr>Nama_siswa</vt:lpstr>
      <vt:lpstr>NIP_Kepsek</vt:lpstr>
      <vt:lpstr>NOMOR_AKHIR</vt:lpstr>
      <vt:lpstr>NPSN</vt:lpstr>
      <vt:lpstr>NSS</vt:lpstr>
      <vt:lpstr>Pangkat_gol</vt:lpstr>
      <vt:lpstr>Peringkat_rapor</vt:lpstr>
      <vt:lpstr>'Data Siswa'!Print_Area</vt:lpstr>
      <vt:lpstr>IJAZAH!Print_Area</vt:lpstr>
      <vt:lpstr>'IJAZAH NILAI'!Print_Area</vt:lpstr>
      <vt:lpstr>'KIRIM DINAS-PPDB'!Print_Area</vt:lpstr>
      <vt:lpstr>'KL IV SMT 1'!Print_Area</vt:lpstr>
      <vt:lpstr>'KL IV SMT 2'!Print_Area</vt:lpstr>
      <vt:lpstr>'KL V SMT 1'!Print_Area</vt:lpstr>
      <vt:lpstr>'KL V SMT 2'!Print_Area</vt:lpstr>
      <vt:lpstr>'KL VI SMT 1'!Print_Area</vt:lpstr>
      <vt:lpstr>'L KILAT'!Print_Area</vt:lpstr>
      <vt:lpstr>'NA IJAZAH'!Print_Area</vt:lpstr>
      <vt:lpstr>PRILAKU!Print_Area</vt:lpstr>
      <vt:lpstr>'REKAP RAPOR'!Print_Area</vt:lpstr>
      <vt:lpstr>RENTANG!Print_Area</vt:lpstr>
      <vt:lpstr>'SMT12'!Print_Area</vt:lpstr>
      <vt:lpstr>'SUKET RAPOR'!Print_Area</vt:lpstr>
      <vt:lpstr>'SURAT LULUS'!Print_Area</vt:lpstr>
      <vt:lpstr>'TTD TRD'!Print_Area</vt:lpstr>
      <vt:lpstr>USD!Print_Area</vt:lpstr>
      <vt:lpstr>Provinsi</vt:lpstr>
      <vt:lpstr>R_KL4_1</vt:lpstr>
      <vt:lpstr>R_KL4_2</vt:lpstr>
      <vt:lpstr>R_KL5_1</vt:lpstr>
      <vt:lpstr>R_KL5_2</vt:lpstr>
      <vt:lpstr>R_KL6_1</vt:lpstr>
      <vt:lpstr>'KIRIM DINAS-PPDB'!Rapor_rekap</vt:lpstr>
      <vt:lpstr>Rapor_rekap</vt:lpstr>
      <vt:lpstr>Sat</vt:lpstr>
      <vt:lpstr>SD_MI</vt:lpstr>
      <vt:lpstr>SK_luluss</vt:lpstr>
      <vt:lpstr>SK_rapor</vt:lpstr>
      <vt:lpstr>Tahun_Pelajaran</vt:lpstr>
      <vt:lpstr>Tanggal</vt:lpstr>
      <vt:lpstr>Telepon</vt:lpstr>
      <vt:lpstr>Tgl_Lulus</vt:lpstr>
      <vt:lpstr>Tgl_rapor</vt:lpstr>
      <vt:lpstr>Tidak</vt:lpstr>
      <vt:lpstr>US_GABUNGAN</vt:lpstr>
      <vt:lpstr>USBN_entri_nilai</vt:lpstr>
      <vt:lpstr>Ya_tidak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BUDHI</dc:creator>
  <cp:lastModifiedBy>ASUS</cp:lastModifiedBy>
  <cp:lastPrinted>2022-03-28T01:55:33Z</cp:lastPrinted>
  <dcterms:created xsi:type="dcterms:W3CDTF">2018-05-17T00:49:03Z</dcterms:created>
  <dcterms:modified xsi:type="dcterms:W3CDTF">2022-06-07T04:01:22Z</dcterms:modified>
</cp:coreProperties>
</file>